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95" windowHeight="8415" tabRatio="914" activeTab="4"/>
  </bookViews>
  <sheets>
    <sheet name="Auto" sheetId="1" r:id="rId1"/>
    <sheet name="Hiremont" sheetId="2" r:id="rId2"/>
    <sheet name="Sob" sheetId="3" r:id="rId3"/>
    <sheet name="Ввод данных0" sheetId="4" state="hidden" r:id="rId4"/>
    <sheet name="Где автомобиль" sheetId="5" r:id="rId5"/>
    <sheet name="Сегодня" sheetId="6" r:id="rId6"/>
    <sheet name="Что было" sheetId="7" r:id="rId7"/>
    <sheet name="Ввод данных" sheetId="8" r:id="rId8"/>
    <sheet name="Карта ремонта" sheetId="9" r:id="rId9"/>
    <sheet name="Заказ запчастей" sheetId="10" r:id="rId10"/>
    <sheet name="Заказ-наряд" sheetId="11" r:id="rId11"/>
    <sheet name="Акт приемки-сдачи" sheetId="12" r:id="rId12"/>
    <sheet name="Инфо" sheetId="13" r:id="rId13"/>
    <sheet name="Spravochnik" sheetId="14" r:id="rId14"/>
  </sheets>
  <definedNames>
    <definedName name="Acura">'Spravochnik'!$H$2:$DC$2</definedName>
    <definedName name="Alfa_Romeo">'Spravochnik'!$H$3:$DC$3</definedName>
    <definedName name="Asia">'Spravochnik'!$H$4:$DC$4</definedName>
    <definedName name="Aston_Martin">'Spravochnik'!$H$5:$DC$5</definedName>
    <definedName name="Audi">'Spravochnik'!$H$6:$DC$6</definedName>
    <definedName name="Auto">'Auto'!$A:$J</definedName>
    <definedName name="Bentley">'Spravochnik'!$H$7:$DC$7</definedName>
    <definedName name="BMW">'Spravochnik'!$H$8:$DC$8</definedName>
    <definedName name="Buick">'Spravochnik'!$H$9:$DC$9</definedName>
    <definedName name="BYD">'Spravochnik'!$H$10:$DC$10</definedName>
    <definedName name="Cadillac">'Spravochnik'!$H$11:$DC$11</definedName>
    <definedName name="ChangFeng">'Spravochnik'!$H$12:$DC$12</definedName>
    <definedName name="Chery">'Spravochnik'!$H$13:$DC$13</definedName>
    <definedName name="Chevrolet">'Spravochnik'!$H$14:$DC$14</definedName>
    <definedName name="Chrysler">'Spravochnik'!$H$15:$DC$15</definedName>
    <definedName name="Citroen">'Spravochnik'!$H$16:$DC$16</definedName>
    <definedName name="Daewoo">'Spravochnik'!$H$17:$DC$17</definedName>
    <definedName name="Daihatsu">'Spravochnik'!$H$18:$DC$18</definedName>
    <definedName name="Dodge">'Spravochnik'!$H$19:$DC$19</definedName>
    <definedName name="DongFeng">'Spravochnik'!$H$20:$DC$20</definedName>
    <definedName name="Doninvest">'Spravochnik'!$H$21:$DC$21</definedName>
    <definedName name="FAW">'Spravochnik'!$H$22:$DC$22</definedName>
    <definedName name="Fiat">'Spravochnik'!$H$23:$DC$23</definedName>
    <definedName name="Ford">'Spravochnik'!$H$24:$DC$24</definedName>
    <definedName name="Geely">'Spravochnik'!$H$25:$DC$25</definedName>
    <definedName name="GMC">'Spravochnik'!$H$26:$DC$26</definedName>
    <definedName name="Great_Wall">'Spravochnik'!$H$27:$DC$27</definedName>
    <definedName name="Hafei">'Spravochnik'!$H$28:$DC$28</definedName>
    <definedName name="hiremont">'Hiremont'!$A:$G</definedName>
    <definedName name="Honda">'Spravochnik'!$H$29:$DC$29</definedName>
    <definedName name="Hummer">'Spravochnik'!$H$30:$DC$30</definedName>
    <definedName name="Hyundai">'Spravochnik'!$H$31:$DC$31</definedName>
    <definedName name="Infiniti">'Spravochnik'!$H$32:$DC$32</definedName>
    <definedName name="Isuzu">'Spravochnik'!$H$33:$DC$33</definedName>
    <definedName name="Jaguar">'Spravochnik'!$H$34:$DC$34</definedName>
    <definedName name="Jeep">'Spravochnik'!$H$35:$DC$35</definedName>
    <definedName name="Kia">'Spravochnik'!$H$36:$DC$36</definedName>
    <definedName name="Land_Rover">'Spravochnik'!$H$37:$DC$37</definedName>
    <definedName name="Lexus">'Spravochnik'!$H$38:$DC$38</definedName>
    <definedName name="Lincoln">'Spravochnik'!$H$39:$DC$39</definedName>
    <definedName name="Mazda">'Spravochnik'!$H$40:$DC$40</definedName>
    <definedName name="Mercedes_Benz">'Spravochnik'!$H$41:$DC$41</definedName>
    <definedName name="Mini">'Spravochnik'!$H$42:$DC$42</definedName>
    <definedName name="Mitsubishi">'Spravochnik'!$H$43:$DC$43</definedName>
    <definedName name="Nissan">'Spravochnik'!$H$44:$DC$44</definedName>
    <definedName name="Opel">'Spravochnik'!$H$45:$DC$45</definedName>
    <definedName name="Peugeot">'Spravochnik'!$H$46:$DC$46</definedName>
    <definedName name="Pontiac">'Spravochnik'!$H$47:$DC$47</definedName>
    <definedName name="Porsche">'Spravochnik'!$H$48:$DC$48</definedName>
    <definedName name="Renault">'Spravochnik'!$H$49:$DC$49</definedName>
    <definedName name="Saab">'Spravochnik'!$H$50:$DC$50</definedName>
    <definedName name="SEAT">'Spravochnik'!$H$51:$DC$51</definedName>
    <definedName name="Skoda">'Spravochnik'!$H$52:$DC$52</definedName>
    <definedName name="Smart">'Spravochnik'!$H$53:$DC$53</definedName>
    <definedName name="Sob">'Sob'!$A:$H</definedName>
    <definedName name="SsangYong">'Spravochnik'!$H$54:$DC$54</definedName>
    <definedName name="Subaru">'Spravochnik'!$H$55:$DC$55</definedName>
    <definedName name="Suzuki">'Spravochnik'!$H$56:$DC$56</definedName>
    <definedName name="Toyota">'Spravochnik'!$H$57:$DC$57</definedName>
    <definedName name="Volkswagen">'Spravochnik'!$H$58:$DC$58</definedName>
    <definedName name="Volvo">'Spravochnik'!$H$59:$DC$59</definedName>
    <definedName name="Буквы_на_госномере">'Spravochnik'!$A$23:$A$35</definedName>
    <definedName name="ВАЗ">'Spravochnik'!$H$60:$DC$60</definedName>
    <definedName name="г" localSheetId="6">'Что было'!#REF!</definedName>
    <definedName name="г">'Сегодня'!$C:$C</definedName>
    <definedName name="ГАЗ">'Spravochnik'!$H$61:$DC$61</definedName>
    <definedName name="Госномер">'Где автомобиль'!$I$13:$I$212</definedName>
    <definedName name="Код_заказа">'Где автомобиль'!$H$13:$H$280</definedName>
    <definedName name="Марка">'Spravochnik'!$G$2:$G$65536</definedName>
    <definedName name="Номер_последнего_заказа">'Spravochnik'!$A$20</definedName>
    <definedName name="_xlnm.Print_Area" localSheetId="11">'Акт приемки-сдачи'!$A$4:$L$67</definedName>
    <definedName name="_xlnm.Print_Area" localSheetId="9">'Заказ запчастей'!$A$3:$E$38</definedName>
    <definedName name="_xlnm.Print_Area" localSheetId="10">'Заказ-наряд'!$A$3:$G$37</definedName>
    <definedName name="_xlnm.Print_Area" localSheetId="8">'Карта ремонта'!$A$4:$I$41</definedName>
    <definedName name="Страховщики">'Spravochnik'!$E$2:$E$65536</definedName>
    <definedName name="ТекстовоеПоле5" localSheetId="9">'Заказ запчастей'!$B$7</definedName>
    <definedName name="УАЗ">'Spravochnik'!$H$62:$DC$62</definedName>
    <definedName name="Участки">'Spravochnik'!$A$37:$A$42</definedName>
  </definedNames>
  <calcPr fullCalcOnLoad="1"/>
</workbook>
</file>

<file path=xl/sharedStrings.xml><?xml version="1.0" encoding="utf-8"?>
<sst xmlns="http://schemas.openxmlformats.org/spreadsheetml/2006/main" count="1480" uniqueCount="804">
  <si>
    <t>Госномер</t>
  </si>
  <si>
    <t>Марка</t>
  </si>
  <si>
    <t>Модель</t>
  </si>
  <si>
    <t>Год выпуска</t>
  </si>
  <si>
    <t>Цвет</t>
  </si>
  <si>
    <t>Собственник</t>
  </si>
  <si>
    <t>Телефон</t>
  </si>
  <si>
    <t>ДатаВремя</t>
  </si>
  <si>
    <t>Стадия</t>
  </si>
  <si>
    <t>Примечания</t>
  </si>
  <si>
    <t>Приемка</t>
  </si>
  <si>
    <t>События</t>
  </si>
  <si>
    <t>Ремонт</t>
  </si>
  <si>
    <t>Ожидание запчастей</t>
  </si>
  <si>
    <t>Где машина</t>
  </si>
  <si>
    <t>Сервис</t>
  </si>
  <si>
    <t>Клиент</t>
  </si>
  <si>
    <t>Выдали клиенту</t>
  </si>
  <si>
    <t>Введите госномер</t>
  </si>
  <si>
    <t>Код заказа</t>
  </si>
  <si>
    <t>Дата приемки</t>
  </si>
  <si>
    <t>Дата выдачи</t>
  </si>
  <si>
    <t>Ввод данных об автомобиле</t>
  </si>
  <si>
    <t>Ввод данных о ремонте</t>
  </si>
  <si>
    <t>Ввод данных о событии</t>
  </si>
  <si>
    <t>Заявка на запчасти</t>
  </si>
  <si>
    <t>Марка, Модель</t>
  </si>
  <si>
    <t>Гос. №</t>
  </si>
  <si>
    <t>Кузов № (VIN)</t>
  </si>
  <si>
    <t>Заказчик</t>
  </si>
  <si>
    <t>Перечень запчастей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</si>
  <si>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</si>
  <si>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</si>
  <si>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</si>
  <si>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</si>
  <si>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</si>
  <si>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</si>
  <si>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</si>
  <si>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</si>
  <si>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</si>
  <si>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</si>
  <si>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</si>
  <si>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</si>
  <si>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</si>
  <si>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</si>
  <si>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</si>
  <si>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</si>
  <si>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</si>
  <si>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</si>
  <si>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</si>
  <si>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</si>
  <si>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Дата</t>
  </si>
  <si>
    <t>Страховщик</t>
  </si>
  <si>
    <t>VIN</t>
  </si>
  <si>
    <t>Примечание</t>
  </si>
  <si>
    <t>Цветовая кодировка</t>
  </si>
  <si>
    <t>Выбрать из списка</t>
  </si>
  <si>
    <t>Напечатать руками</t>
  </si>
  <si>
    <t>Вычисляется по формулам, не трогать!</t>
  </si>
  <si>
    <t>Служебное</t>
  </si>
  <si>
    <t>Карта ремонта</t>
  </si>
  <si>
    <t>Владелец</t>
  </si>
  <si>
    <t>Плательщик</t>
  </si>
  <si>
    <t>Дата осмотра</t>
  </si>
  <si>
    <t>Осмотр автомобиля произведен</t>
  </si>
  <si>
    <t>Направление на ремонт:</t>
  </si>
  <si>
    <t>Мастер приемщик</t>
  </si>
  <si>
    <t>Эксперт</t>
  </si>
  <si>
    <t>Для проведения ремонта необходима замена детелей</t>
  </si>
  <si>
    <t>Отдел запчастей</t>
  </si>
  <si>
    <t>Осмотр произвел</t>
  </si>
  <si>
    <t>Дата поставки запчастей план</t>
  </si>
  <si>
    <t>Дата поставки запчастей факт</t>
  </si>
  <si>
    <t>Дата постановки в ремонт</t>
  </si>
  <si>
    <t>Участок</t>
  </si>
  <si>
    <t>Дополнительные работы</t>
  </si>
  <si>
    <t>Заказ-наряд</t>
  </si>
  <si>
    <t>Перечень работ</t>
  </si>
  <si>
    <t>Ремонт других повреждений не указанных в данном заказ-наряде производится только после согласования.</t>
  </si>
  <si>
    <t>Марка, Модель:</t>
  </si>
  <si>
    <t>АКТ ПРИЕМКИ-СДАЧИ ТРАНСПОРТНОГО СРЕДСТВА</t>
  </si>
  <si>
    <t>Комплектация ТС:</t>
  </si>
  <si>
    <t xml:space="preserve">Антенна </t>
  </si>
  <si>
    <t>ПТФ</t>
  </si>
  <si>
    <t>Огнетушитель</t>
  </si>
  <si>
    <t>Магнитола</t>
  </si>
  <si>
    <t>Колпаки колес</t>
  </si>
  <si>
    <t>Зеркало зад. вида внеш.</t>
  </si>
  <si>
    <t>Знак аварийной остановки</t>
  </si>
  <si>
    <t>Динамики</t>
  </si>
  <si>
    <t>Коврики</t>
  </si>
  <si>
    <t>Зеркала зад.  вида внутр.</t>
  </si>
  <si>
    <t>Запасное колесо</t>
  </si>
  <si>
    <t>Пепельница</t>
  </si>
  <si>
    <t>Чехлы сидений</t>
  </si>
  <si>
    <t>Домкрат</t>
  </si>
  <si>
    <t>Аптечка</t>
  </si>
  <si>
    <t>Прикуриватель</t>
  </si>
  <si>
    <t>Эксплуатационные дефекты</t>
  </si>
  <si>
    <t>Состояние ТС:</t>
  </si>
  <si>
    <t>Автомобиль предъявлен в загрязненном состоянии, принят без осмотра</t>
  </si>
  <si>
    <t>Претензии по эксплуатационным дефектам не принимаются</t>
  </si>
  <si>
    <t>(подпись)</t>
  </si>
  <si>
    <t>ПОДПИСИ СТОРОН:</t>
  </si>
  <si>
    <t>Работа выполнена согласно направления, качественно и сдана в установленные сроки.</t>
  </si>
  <si>
    <t>Стороны претензий друг к другу не имеют.</t>
  </si>
  <si>
    <t>от</t>
  </si>
  <si>
    <t>Направляющая  Компания:</t>
  </si>
  <si>
    <t>Направление №:</t>
  </si>
  <si>
    <t>Марка:</t>
  </si>
  <si>
    <t>Модель:</t>
  </si>
  <si>
    <t>Цвет:</t>
  </si>
  <si>
    <t>Год вып.:</t>
  </si>
  <si>
    <t>Регистрационный знак:</t>
  </si>
  <si>
    <t>Пробег:</t>
  </si>
  <si>
    <t>VIN:</t>
  </si>
  <si>
    <t>Уровень топлива:</t>
  </si>
  <si>
    <t>F</t>
  </si>
  <si>
    <t>E</t>
  </si>
  <si>
    <t>Владелец:</t>
  </si>
  <si>
    <t>Телефон:</t>
  </si>
  <si>
    <t>Адрес:</t>
  </si>
  <si>
    <t>¨</t>
  </si>
  <si>
    <t>¨¨</t>
  </si>
  <si>
    <t>¨¨¨¨</t>
  </si>
  <si>
    <t>Мастер-приемщик</t>
  </si>
  <si>
    <t>(ФИО)</t>
  </si>
  <si>
    <t>/</t>
  </si>
  <si>
    <t>Автомобиль из ремонта получил</t>
  </si>
  <si>
    <t>Марка Модель</t>
  </si>
  <si>
    <t>Прием автомобиля</t>
  </si>
  <si>
    <t>Страховщики</t>
  </si>
  <si>
    <t>Номер заказа</t>
  </si>
  <si>
    <t>Номер последнего заказа</t>
  </si>
  <si>
    <t>Буквы на госномере</t>
  </si>
  <si>
    <t>А</t>
  </si>
  <si>
    <t>В</t>
  </si>
  <si>
    <t>Е</t>
  </si>
  <si>
    <t>К</t>
  </si>
  <si>
    <t>М</t>
  </si>
  <si>
    <t>Н</t>
  </si>
  <si>
    <t>О</t>
  </si>
  <si>
    <t>Р</t>
  </si>
  <si>
    <t>С</t>
  </si>
  <si>
    <t>Т</t>
  </si>
  <si>
    <t>У</t>
  </si>
  <si>
    <t>Х</t>
  </si>
  <si>
    <t>Российский</t>
  </si>
  <si>
    <t>Нестандартный</t>
  </si>
  <si>
    <t>Сделать заказ запчастей -- в базу событий заносится запись с событием о заказе запчастей</t>
  </si>
  <si>
    <t>Передать в ремонт -- сделать запись в базу событий о передаче в ремонт</t>
  </si>
  <si>
    <t>Выдать клиенту -- внести в базу ремонта запись о ремонте. Удалить из базы событий все записи о событиях ремонта.</t>
  </si>
  <si>
    <t>Запчасти</t>
  </si>
  <si>
    <t xml:space="preserve">Дата </t>
  </si>
  <si>
    <t>Принять заказ -- в базу автомобилей Auto вносится информация об автомобие, в базу событий вносится информация о событии приема, во все листы с документами подставляется номер автомобиля или код заказа.</t>
  </si>
  <si>
    <t>заказ</t>
  </si>
  <si>
    <t>Сейчас в сервисе:</t>
  </si>
  <si>
    <t>автомобиля</t>
  </si>
  <si>
    <t>Где сейчас</t>
  </si>
  <si>
    <t>Дата последнего события</t>
  </si>
  <si>
    <t>Сегодня</t>
  </si>
  <si>
    <t>Когда</t>
  </si>
  <si>
    <t>Что</t>
  </si>
  <si>
    <t>Итог</t>
  </si>
  <si>
    <t>Заказ запчастей</t>
  </si>
  <si>
    <t>Акт приемки-сдачи</t>
  </si>
  <si>
    <t>Документы:</t>
  </si>
  <si>
    <t>Передача в ремонт</t>
  </si>
  <si>
    <t xml:space="preserve">4. </t>
  </si>
  <si>
    <t>Выдача клиенту</t>
  </si>
  <si>
    <t>Информация об автомобиле</t>
  </si>
  <si>
    <t>События:</t>
  </si>
  <si>
    <r>
      <rPr>
        <sz val="18"/>
        <color indexed="8"/>
        <rFont val="Calibri"/>
        <family val="2"/>
      </rPr>
      <t xml:space="preserve">Этот проект описывает несколько событий. </t>
    </r>
    <r>
      <rPr>
        <sz val="11"/>
        <color theme="1"/>
        <rFont val="Calibri"/>
        <family val="2"/>
      </rPr>
      <t xml:space="preserve">
1.</t>
    </r>
    <r>
      <rPr>
        <b/>
        <sz val="11"/>
        <color indexed="8"/>
        <rFont val="Calibri"/>
        <family val="2"/>
      </rPr>
      <t xml:space="preserve"> Прием заказа.</t>
    </r>
    <r>
      <rPr>
        <sz val="11"/>
        <color theme="1"/>
        <rFont val="Calibri"/>
        <family val="2"/>
      </rPr>
      <t xml:space="preserve"> Автомобиль поступает в ремонт. В листе "Ввод данных" вносится информация об автомобиле с техпаспорта. По введенному госномеру компьютер проверяет, есть ли такой автомобиль в базе ранее ремонтировавшихся автомобилей. Если такой автомобиль есть, то вводить данные не надо. Они сами подставятся из базы. После нажатия на кнопку "Принять заказ" в базусобытий (на листе Sob) вносится событие "Прием". Затем происходит переход на документ "Карта ремонта", где уже подставлены данные об этом автомобиле.
2. </t>
    </r>
    <r>
      <rPr>
        <b/>
        <sz val="11"/>
        <color indexed="8"/>
        <rFont val="Calibri"/>
        <family val="2"/>
      </rPr>
      <t>Заказ запчастей</t>
    </r>
    <r>
      <rPr>
        <sz val="11"/>
        <color theme="1"/>
        <rFont val="Calibri"/>
        <family val="2"/>
      </rPr>
      <t xml:space="preserve">. На листе "Заказ запчастей" оформляется документ на заказ. По нажатию на кнопку "Заказать запчасти" в базу событий вводится событие "Запчасти".
3. </t>
    </r>
    <r>
      <rPr>
        <b/>
        <sz val="11"/>
        <color indexed="8"/>
        <rFont val="Calibri"/>
        <family val="2"/>
      </rPr>
      <t xml:space="preserve">Передача в ремонт. </t>
    </r>
    <r>
      <rPr>
        <sz val="11"/>
        <color theme="1"/>
        <rFont val="Calibri"/>
        <family val="2"/>
      </rPr>
      <t xml:space="preserve">На листе "Заказ-наряд". Оформляется документ для ремонта. Там же кнопка "Передать в ремонт" записывает в базу событий событие "Ремонт".
4. </t>
    </r>
    <r>
      <rPr>
        <b/>
        <sz val="11"/>
        <color indexed="8"/>
        <rFont val="Calibri"/>
        <family val="2"/>
      </rPr>
      <t>Выдача клиенту.</t>
    </r>
    <r>
      <rPr>
        <sz val="11"/>
        <color theme="1"/>
        <rFont val="Calibri"/>
        <family val="2"/>
      </rPr>
      <t xml:space="preserve"> На листе "Где автомобиль" кнопка "Выдать клиенту". Она удаляет из базу событий все события связанные с выбранным автомобилем. Затем записывает в базу ремонтов итоговую строку о ремонте. Можно в ячейке Итог ввести краткое описание или примечание.
</t>
    </r>
    <r>
      <rPr>
        <b/>
        <sz val="16"/>
        <color indexed="8"/>
        <rFont val="Calibri"/>
        <family val="2"/>
      </rPr>
      <t>Внимание!</t>
    </r>
    <r>
      <rPr>
        <sz val="11"/>
        <color theme="1"/>
        <rFont val="Calibri"/>
        <family val="2"/>
      </rPr>
      <t xml:space="preserve">
На листе "Где автомобиль" можно посмотреть как информацию об одном автомобиле, так и информацию о последних событиях для всех автомобилей находящихся в ремонте (в списке справа).
Обращайте внимание на желтые ячейки. Они ключевые. В них выбирается либо номер заказа либо госномер автомобиля, с которым происходит действие.
</t>
    </r>
  </si>
  <si>
    <t>Для ручного ввода</t>
  </si>
  <si>
    <t>АИГ</t>
  </si>
  <si>
    <t>Е212ОУ177</t>
  </si>
  <si>
    <t>Спасские Ворота</t>
  </si>
  <si>
    <t>Основа</t>
  </si>
  <si>
    <t>Авикос</t>
  </si>
  <si>
    <t>Альфастрахование</t>
  </si>
  <si>
    <t>Транснефть</t>
  </si>
  <si>
    <t>ВТБ-Росно</t>
  </si>
  <si>
    <t>Россия</t>
  </si>
  <si>
    <t>Стандарт Резерв</t>
  </si>
  <si>
    <t>Уралсиб</t>
  </si>
  <si>
    <t>МСК-Стандарт</t>
  </si>
  <si>
    <t>Гутастрахование</t>
  </si>
  <si>
    <t>Acura</t>
  </si>
  <si>
    <t>Integra</t>
  </si>
  <si>
    <t>MDX</t>
  </si>
  <si>
    <t>RDX</t>
  </si>
  <si>
    <t>RL</t>
  </si>
  <si>
    <t>RSX</t>
  </si>
  <si>
    <t>TL</t>
  </si>
  <si>
    <t>TSX</t>
  </si>
  <si>
    <t>Alfa_Romeo</t>
  </si>
  <si>
    <t>Alfetta</t>
  </si>
  <si>
    <t>Brera</t>
  </si>
  <si>
    <t>Giulietta</t>
  </si>
  <si>
    <t>GT</t>
  </si>
  <si>
    <t>GTV</t>
  </si>
  <si>
    <t>Spider</t>
  </si>
  <si>
    <t>Asia</t>
  </si>
  <si>
    <t>Hi-topic</t>
  </si>
  <si>
    <t>Rocsta</t>
  </si>
  <si>
    <t>Aston_Martin</t>
  </si>
  <si>
    <t>DB7</t>
  </si>
  <si>
    <t>DB9</t>
  </si>
  <si>
    <t>DBS</t>
  </si>
  <si>
    <t>V12 Vanquish</t>
  </si>
  <si>
    <t>V8</t>
  </si>
  <si>
    <t>Vanquish</t>
  </si>
  <si>
    <t>Audi</t>
  </si>
  <si>
    <t>A2</t>
  </si>
  <si>
    <t>A3</t>
  </si>
  <si>
    <t>A4</t>
  </si>
  <si>
    <t>A5</t>
  </si>
  <si>
    <t>A6</t>
  </si>
  <si>
    <t>A8</t>
  </si>
  <si>
    <t>Allroad</t>
  </si>
  <si>
    <t>Cabriolet</t>
  </si>
  <si>
    <t>Coupe</t>
  </si>
  <si>
    <t>Q5</t>
  </si>
  <si>
    <t>Q7</t>
  </si>
  <si>
    <t>Quattro</t>
  </si>
  <si>
    <t>R8</t>
  </si>
  <si>
    <t>RS2</t>
  </si>
  <si>
    <t>RS4</t>
  </si>
  <si>
    <t>RS6</t>
  </si>
  <si>
    <t>S2</t>
  </si>
  <si>
    <t>S3</t>
  </si>
  <si>
    <t>S4</t>
  </si>
  <si>
    <t>S5</t>
  </si>
  <si>
    <t>S6</t>
  </si>
  <si>
    <t>S8</t>
  </si>
  <si>
    <t>TT</t>
  </si>
  <si>
    <t>Bentley</t>
  </si>
  <si>
    <t>Arnage</t>
  </si>
  <si>
    <t>Azure</t>
  </si>
  <si>
    <t>Brooklands</t>
  </si>
  <si>
    <t>Continental</t>
  </si>
  <si>
    <t>Mulsanne</t>
  </si>
  <si>
    <t>Turbo R</t>
  </si>
  <si>
    <t>BMW</t>
  </si>
  <si>
    <t>      116</t>
  </si>
  <si>
    <t>      118</t>
  </si>
  <si>
    <t>      120</t>
  </si>
  <si>
    <t>      123</t>
  </si>
  <si>
    <t>      125</t>
  </si>
  <si>
    <t>      130</t>
  </si>
  <si>
    <t>      135</t>
  </si>
  <si>
    <t>      315</t>
  </si>
  <si>
    <t>      316</t>
  </si>
  <si>
    <t>      318</t>
  </si>
  <si>
    <t>      320</t>
  </si>
  <si>
    <t>      323</t>
  </si>
  <si>
    <t>      324</t>
  </si>
  <si>
    <t>      325</t>
  </si>
  <si>
    <t>      328</t>
  </si>
  <si>
    <t>      330</t>
  </si>
  <si>
    <t>      335</t>
  </si>
  <si>
    <t>      518</t>
  </si>
  <si>
    <t>      520</t>
  </si>
  <si>
    <t>      523</t>
  </si>
  <si>
    <t>      524</t>
  </si>
  <si>
    <t>      525</t>
  </si>
  <si>
    <t>      528</t>
  </si>
  <si>
    <t>      530</t>
  </si>
  <si>
    <t>      535</t>
  </si>
  <si>
    <t>      540</t>
  </si>
  <si>
    <t>      545</t>
  </si>
  <si>
    <t>      550</t>
  </si>
  <si>
    <t>      628</t>
  </si>
  <si>
    <t>      630</t>
  </si>
  <si>
    <t>      635</t>
  </si>
  <si>
    <t>      645</t>
  </si>
  <si>
    <t>      650</t>
  </si>
  <si>
    <t>      725</t>
  </si>
  <si>
    <t>      728</t>
  </si>
  <si>
    <t>      730</t>
  </si>
  <si>
    <t>      732</t>
  </si>
  <si>
    <t>      735</t>
  </si>
  <si>
    <t>      740</t>
  </si>
  <si>
    <t>      745</t>
  </si>
  <si>
    <t>      750</t>
  </si>
  <si>
    <t>      760</t>
  </si>
  <si>
    <t>      M3</t>
  </si>
  <si>
    <t>      M5</t>
  </si>
  <si>
    <t>      M6</t>
  </si>
  <si>
    <t>      X3</t>
  </si>
  <si>
    <t>      X5</t>
  </si>
  <si>
    <t>      X6</t>
  </si>
  <si>
    <t>      Z1</t>
  </si>
  <si>
    <t>      Z3</t>
  </si>
  <si>
    <t>      Z3 M</t>
  </si>
  <si>
    <t>      Z4</t>
  </si>
  <si>
    <t>      Z4 M</t>
  </si>
  <si>
    <t>      Z8</t>
  </si>
  <si>
    <t>Buick</t>
  </si>
  <si>
    <t>Century</t>
  </si>
  <si>
    <t>Enclave</t>
  </si>
  <si>
    <t>BYD</t>
  </si>
  <si>
    <t>F3</t>
  </si>
  <si>
    <t>FLYER II</t>
  </si>
  <si>
    <t>Cadillac</t>
  </si>
  <si>
    <t>BLS</t>
  </si>
  <si>
    <t>CTS</t>
  </si>
  <si>
    <t>DE Ville</t>
  </si>
  <si>
    <t>Eldorado</t>
  </si>
  <si>
    <t>Escalade</t>
  </si>
  <si>
    <t>Seville</t>
  </si>
  <si>
    <t>SRX</t>
  </si>
  <si>
    <t>STS</t>
  </si>
  <si>
    <t>ChangFeng</t>
  </si>
  <si>
    <t>Flying</t>
  </si>
  <si>
    <t>Chery</t>
  </si>
  <si>
    <t>Amulet</t>
  </si>
  <si>
    <t>Fora</t>
  </si>
  <si>
    <t>Kimo (A1)</t>
  </si>
  <si>
    <t>QQ6 (S21)</t>
  </si>
  <si>
    <t>Sweet (QQ)</t>
  </si>
  <si>
    <t>Tiggo</t>
  </si>
  <si>
    <t>Chevrolet</t>
  </si>
  <si>
    <t>Aveo</t>
  </si>
  <si>
    <t>Camaro</t>
  </si>
  <si>
    <t>Captiva</t>
  </si>
  <si>
    <t>Corvette</t>
  </si>
  <si>
    <t>Epica</t>
  </si>
  <si>
    <t>Express</t>
  </si>
  <si>
    <t>Lacetti</t>
  </si>
  <si>
    <t>Lanos</t>
  </si>
  <si>
    <t>Niva</t>
  </si>
  <si>
    <t>Rezzo</t>
  </si>
  <si>
    <t>Spark</t>
  </si>
  <si>
    <t>Starcraft</t>
  </si>
  <si>
    <t>Suburban</t>
  </si>
  <si>
    <t>Tahoe</t>
  </si>
  <si>
    <t>Trailblazer</t>
  </si>
  <si>
    <t>Van</t>
  </si>
  <si>
    <t>Chrysler</t>
  </si>
  <si>
    <t>300C</t>
  </si>
  <si>
    <t>300M</t>
  </si>
  <si>
    <t>Crossfire</t>
  </si>
  <si>
    <t>Grand Voyager</t>
  </si>
  <si>
    <t>Intrepid</t>
  </si>
  <si>
    <t>PT Cruiser</t>
  </si>
  <si>
    <t>Sebring</t>
  </si>
  <si>
    <t>Voyager</t>
  </si>
  <si>
    <t>Citroen</t>
  </si>
  <si>
    <t>Berlingo</t>
  </si>
  <si>
    <t>C-Crosser</t>
  </si>
  <si>
    <t>C2</t>
  </si>
  <si>
    <t>C3</t>
  </si>
  <si>
    <t>C4</t>
  </si>
  <si>
    <t>C4 Picasso</t>
  </si>
  <si>
    <t>C5</t>
  </si>
  <si>
    <t>C6</t>
  </si>
  <si>
    <t>C8</t>
  </si>
  <si>
    <t>CX</t>
  </si>
  <si>
    <t>Jumper</t>
  </si>
  <si>
    <t>Jumpy</t>
  </si>
  <si>
    <t>Xsara</t>
  </si>
  <si>
    <t>Xsara Picasso</t>
  </si>
  <si>
    <t>Daewoo</t>
  </si>
  <si>
    <t>Damas</t>
  </si>
  <si>
    <t>Espero</t>
  </si>
  <si>
    <t>Korando</t>
  </si>
  <si>
    <t>Leganza</t>
  </si>
  <si>
    <t>Matiz</t>
  </si>
  <si>
    <t>Nexia</t>
  </si>
  <si>
    <t>Tico</t>
  </si>
  <si>
    <t>Daihatsu</t>
  </si>
  <si>
    <t>Materia</t>
  </si>
  <si>
    <t>Sirion</t>
  </si>
  <si>
    <t>Terios</t>
  </si>
  <si>
    <t>Dodge</t>
  </si>
  <si>
    <t>Avenger</t>
  </si>
  <si>
    <t>Caliber</t>
  </si>
  <si>
    <t>Caravan</t>
  </si>
  <si>
    <t>Challenger</t>
  </si>
  <si>
    <t>Journey</t>
  </si>
  <si>
    <t>Nitro</t>
  </si>
  <si>
    <t>RAM</t>
  </si>
  <si>
    <t>Viper</t>
  </si>
  <si>
    <t>DongFeng</t>
  </si>
  <si>
    <t>MPV</t>
  </si>
  <si>
    <t>Rich</t>
  </si>
  <si>
    <t>Doninvest</t>
  </si>
  <si>
    <t>Assol</t>
  </si>
  <si>
    <t>Orion</t>
  </si>
  <si>
    <t>FAW</t>
  </si>
  <si>
    <t>Admiral</t>
  </si>
  <si>
    <t>Jinn</t>
  </si>
  <si>
    <t>Vita</t>
  </si>
  <si>
    <t>Fiat</t>
  </si>
  <si>
    <t>Albea</t>
  </si>
  <si>
    <t>Bravo</t>
  </si>
  <si>
    <t>Croma</t>
  </si>
  <si>
    <t>Doblo</t>
  </si>
  <si>
    <t>New 500</t>
  </si>
  <si>
    <t>Panda</t>
  </si>
  <si>
    <t>Punto</t>
  </si>
  <si>
    <t>Sedici</t>
  </si>
  <si>
    <t>Ford</t>
  </si>
  <si>
    <t>C-MAX</t>
  </si>
  <si>
    <t>Escape</t>
  </si>
  <si>
    <t>Escort</t>
  </si>
  <si>
    <t>Excursion</t>
  </si>
  <si>
    <t>Expedition</t>
  </si>
  <si>
    <t>Explorer</t>
  </si>
  <si>
    <t>Fiesta</t>
  </si>
  <si>
    <t>Focus</t>
  </si>
  <si>
    <t>Fusion</t>
  </si>
  <si>
    <t>Kuga</t>
  </si>
  <si>
    <t>Maverick</t>
  </si>
  <si>
    <t>Mondeo</t>
  </si>
  <si>
    <t>Puma</t>
  </si>
  <si>
    <t>Ranger</t>
  </si>
  <si>
    <t>S-MAX</t>
  </si>
  <si>
    <t>Tourneo Connect</t>
  </si>
  <si>
    <t>Windstar</t>
  </si>
  <si>
    <t>Geely</t>
  </si>
  <si>
    <t>MK</t>
  </si>
  <si>
    <t>Otaka</t>
  </si>
  <si>
    <t>Vision</t>
  </si>
  <si>
    <t>GMC</t>
  </si>
  <si>
    <t>Acadia</t>
  </si>
  <si>
    <t>Canyon</t>
  </si>
  <si>
    <t>Envoy</t>
  </si>
  <si>
    <t>Jimmy</t>
  </si>
  <si>
    <t>Safari</t>
  </si>
  <si>
    <t>Savana</t>
  </si>
  <si>
    <t>Sierra</t>
  </si>
  <si>
    <t>Sonoma</t>
  </si>
  <si>
    <t>Typhoon</t>
  </si>
  <si>
    <t>Yukon</t>
  </si>
  <si>
    <t>Great_Wall</t>
  </si>
  <si>
    <t>Hover</t>
  </si>
  <si>
    <t>Peri</t>
  </si>
  <si>
    <t>Safe</t>
  </si>
  <si>
    <t>Sailor</t>
  </si>
  <si>
    <t>Socool</t>
  </si>
  <si>
    <t>Sokol</t>
  </si>
  <si>
    <t>SUV</t>
  </si>
  <si>
    <t>Wingle</t>
  </si>
  <si>
    <t>Hafei</t>
  </si>
  <si>
    <t>Brio</t>
  </si>
  <si>
    <t>Princip</t>
  </si>
  <si>
    <t>Simbo</t>
  </si>
  <si>
    <t>Honda</t>
  </si>
  <si>
    <t>Accord</t>
  </si>
  <si>
    <t>Civic</t>
  </si>
  <si>
    <t>CR-V</t>
  </si>
  <si>
    <t>Jazz</t>
  </si>
  <si>
    <t>Legend</t>
  </si>
  <si>
    <t>Pilot</t>
  </si>
  <si>
    <t>Ridgeline</t>
  </si>
  <si>
    <t>Hummer</t>
  </si>
  <si>
    <t>Hummer H2</t>
  </si>
  <si>
    <t>Hummer H3</t>
  </si>
  <si>
    <t>Hyundai</t>
  </si>
  <si>
    <t>Accent</t>
  </si>
  <si>
    <t>Elantra</t>
  </si>
  <si>
    <t>Genesis</t>
  </si>
  <si>
    <t>Getz</t>
  </si>
  <si>
    <t>Grandeur</t>
  </si>
  <si>
    <t>H-1 Starex</t>
  </si>
  <si>
    <t>i30</t>
  </si>
  <si>
    <t>Matrix</t>
  </si>
  <si>
    <t>NF</t>
  </si>
  <si>
    <t>Santa FE</t>
  </si>
  <si>
    <t>Sonata</t>
  </si>
  <si>
    <t>Tucson</t>
  </si>
  <si>
    <t>Veracruz (ix55)</t>
  </si>
  <si>
    <t>Infiniti</t>
  </si>
  <si>
    <t>EX</t>
  </si>
  <si>
    <t>FX 35</t>
  </si>
  <si>
    <t>FX 45</t>
  </si>
  <si>
    <t>FX 50</t>
  </si>
  <si>
    <t>G35</t>
  </si>
  <si>
    <t>G37</t>
  </si>
  <si>
    <t>M35</t>
  </si>
  <si>
    <t>M45</t>
  </si>
  <si>
    <t>QX56</t>
  </si>
  <si>
    <t>Isuzu</t>
  </si>
  <si>
    <t>Axiom</t>
  </si>
  <si>
    <t>Bighorn</t>
  </si>
  <si>
    <t>Gemini</t>
  </si>
  <si>
    <t>Rodeo</t>
  </si>
  <si>
    <t>Trooper</t>
  </si>
  <si>
    <t>VehiCross</t>
  </si>
  <si>
    <t>Wizard</t>
  </si>
  <si>
    <t>Jaguar</t>
  </si>
  <si>
    <t>X-type</t>
  </si>
  <si>
    <t>XF</t>
  </si>
  <si>
    <t>XJ</t>
  </si>
  <si>
    <t>XK 8</t>
  </si>
  <si>
    <t>XKR</t>
  </si>
  <si>
    <t>Jeep</t>
  </si>
  <si>
    <t>Cherokee</t>
  </si>
  <si>
    <t>Commander</t>
  </si>
  <si>
    <t>Compass</t>
  </si>
  <si>
    <t>Grand Cherokee</t>
  </si>
  <si>
    <t>Patriot</t>
  </si>
  <si>
    <t>Wrangler</t>
  </si>
  <si>
    <t>Kia</t>
  </si>
  <si>
    <t>Carens</t>
  </si>
  <si>
    <t>Carnival</t>
  </si>
  <si>
    <t>Cee'd</t>
  </si>
  <si>
    <t>Cerato (Forte)</t>
  </si>
  <si>
    <t>K2700</t>
  </si>
  <si>
    <t>Magentis</t>
  </si>
  <si>
    <t>Opirus</t>
  </si>
  <si>
    <t>Picanto</t>
  </si>
  <si>
    <t>Rio</t>
  </si>
  <si>
    <t>Sorento</t>
  </si>
  <si>
    <t>Soul</t>
  </si>
  <si>
    <t>Spectra</t>
  </si>
  <si>
    <t>Sportage</t>
  </si>
  <si>
    <t>Land_Rover</t>
  </si>
  <si>
    <t>Defender</t>
  </si>
  <si>
    <t>Discovery</t>
  </si>
  <si>
    <t>Freelander</t>
  </si>
  <si>
    <t>Range Rover</t>
  </si>
  <si>
    <t>Lexus</t>
  </si>
  <si>
    <t>ES</t>
  </si>
  <si>
    <t>GS 300</t>
  </si>
  <si>
    <t>GS 350</t>
  </si>
  <si>
    <t>GS 450h</t>
  </si>
  <si>
    <t>GS 460</t>
  </si>
  <si>
    <t>GX</t>
  </si>
  <si>
    <t>IS 250</t>
  </si>
  <si>
    <t>IS 350</t>
  </si>
  <si>
    <t>IS-F</t>
  </si>
  <si>
    <t>LS 460</t>
  </si>
  <si>
    <t>LS 600</t>
  </si>
  <si>
    <t>LX</t>
  </si>
  <si>
    <t>RX 350</t>
  </si>
  <si>
    <t>RX 400h</t>
  </si>
  <si>
    <t>Lincoln</t>
  </si>
  <si>
    <t>MKX</t>
  </si>
  <si>
    <t>Navigator</t>
  </si>
  <si>
    <t>Mazda</t>
  </si>
  <si>
    <t>BT-50</t>
  </si>
  <si>
    <t>CX-7</t>
  </si>
  <si>
    <t>CX-9</t>
  </si>
  <si>
    <t>Mazda 2</t>
  </si>
  <si>
    <t>Mazda 3</t>
  </si>
  <si>
    <t>Mazda 5</t>
  </si>
  <si>
    <t>Mx-5</t>
  </si>
  <si>
    <t>Mаzda 6</t>
  </si>
  <si>
    <t>Rx-8</t>
  </si>
  <si>
    <t>A-klasse</t>
  </si>
  <si>
    <t>B 170</t>
  </si>
  <si>
    <t>B 200</t>
  </si>
  <si>
    <t>C 180</t>
  </si>
  <si>
    <t>C 200</t>
  </si>
  <si>
    <t>C 230</t>
  </si>
  <si>
    <t>C 280</t>
  </si>
  <si>
    <t>C 320</t>
  </si>
  <si>
    <t>C 350</t>
  </si>
  <si>
    <t>C 63 AMG</t>
  </si>
  <si>
    <t>CL 500</t>
  </si>
  <si>
    <t>CL 600</t>
  </si>
  <si>
    <t>CL 63 AMG</t>
  </si>
  <si>
    <t>CL 65 AMG</t>
  </si>
  <si>
    <t>CLC-klasse</t>
  </si>
  <si>
    <t>CLK-klasse</t>
  </si>
  <si>
    <t>CLS 320</t>
  </si>
  <si>
    <t>CLS 350</t>
  </si>
  <si>
    <t>CLS 500</t>
  </si>
  <si>
    <t>CLS 63 AMG</t>
  </si>
  <si>
    <t>E 200</t>
  </si>
  <si>
    <t>E 230</t>
  </si>
  <si>
    <t>E 280</t>
  </si>
  <si>
    <t>E 300</t>
  </si>
  <si>
    <t>E 350</t>
  </si>
  <si>
    <t>E 500</t>
  </si>
  <si>
    <t>G 320</t>
  </si>
  <si>
    <t>G 500</t>
  </si>
  <si>
    <t>G 55 AMG</t>
  </si>
  <si>
    <t>GL 320</t>
  </si>
  <si>
    <t>GL 450</t>
  </si>
  <si>
    <t>GL 500</t>
  </si>
  <si>
    <t>GL 550</t>
  </si>
  <si>
    <t>GLK 280</t>
  </si>
  <si>
    <t>GLK 350</t>
  </si>
  <si>
    <t>ML 280</t>
  </si>
  <si>
    <t>ML 320</t>
  </si>
  <si>
    <t>ML 350</t>
  </si>
  <si>
    <t>ML 420</t>
  </si>
  <si>
    <t>ML 500</t>
  </si>
  <si>
    <t>ML 63 AMG</t>
  </si>
  <si>
    <t>R 320</t>
  </si>
  <si>
    <t>R 350</t>
  </si>
  <si>
    <t>R 500</t>
  </si>
  <si>
    <t>S 350</t>
  </si>
  <si>
    <t>S 450</t>
  </si>
  <si>
    <t>S 500</t>
  </si>
  <si>
    <t>S 550</t>
  </si>
  <si>
    <t>S 63 AMG</t>
  </si>
  <si>
    <t>S 65 AMG</t>
  </si>
  <si>
    <t>SL 350</t>
  </si>
  <si>
    <t>SL 500</t>
  </si>
  <si>
    <t>SL 63 AMG</t>
  </si>
  <si>
    <t>SL 65 AMG</t>
  </si>
  <si>
    <t>SLK 200</t>
  </si>
  <si>
    <t>SLK 350</t>
  </si>
  <si>
    <t>SLR McLaren</t>
  </si>
  <si>
    <t>Viano</t>
  </si>
  <si>
    <t>Mini</t>
  </si>
  <si>
    <t>Cooper</t>
  </si>
  <si>
    <t>Mitsubishi</t>
  </si>
  <si>
    <t>Colt</t>
  </si>
  <si>
    <t>Galant</t>
  </si>
  <si>
    <t>Grandis</t>
  </si>
  <si>
    <t>L 200</t>
  </si>
  <si>
    <t>Lancer Evoiution</t>
  </si>
  <si>
    <t>Lancer Sportback</t>
  </si>
  <si>
    <t>Outlander</t>
  </si>
  <si>
    <t>Pajero</t>
  </si>
  <si>
    <t>Nissan</t>
  </si>
  <si>
    <t>350Z</t>
  </si>
  <si>
    <t>Almera</t>
  </si>
  <si>
    <t>Armada</t>
  </si>
  <si>
    <t>GT-R</t>
  </si>
  <si>
    <t>Micra</t>
  </si>
  <si>
    <t>Murano</t>
  </si>
  <si>
    <t>Navara</t>
  </si>
  <si>
    <t>Note</t>
  </si>
  <si>
    <t>NP 300 Pick up</t>
  </si>
  <si>
    <t>Pathfinder</t>
  </si>
  <si>
    <t>Patrol</t>
  </si>
  <si>
    <t>Primera</t>
  </si>
  <si>
    <t>Qashqai</t>
  </si>
  <si>
    <t>Rogue</t>
  </si>
  <si>
    <t>Teana</t>
  </si>
  <si>
    <t>Tiida</t>
  </si>
  <si>
    <t>Titan</t>
  </si>
  <si>
    <t>X-Trail</t>
  </si>
  <si>
    <t>Opel</t>
  </si>
  <si>
    <t>Antara</t>
  </si>
  <si>
    <t>Astra</t>
  </si>
  <si>
    <t>Combo</t>
  </si>
  <si>
    <t>Corsa</t>
  </si>
  <si>
    <t>Corsa OPC</t>
  </si>
  <si>
    <t>Insignia</t>
  </si>
  <si>
    <t>Meriva</t>
  </si>
  <si>
    <t>Vectra</t>
  </si>
  <si>
    <t>Zafira</t>
  </si>
  <si>
    <t>Peugeot</t>
  </si>
  <si>
    <t>Pontiac</t>
  </si>
  <si>
    <t>VIBE</t>
  </si>
  <si>
    <t>Porsche</t>
  </si>
  <si>
    <t>Boxster</t>
  </si>
  <si>
    <t>Cayenne</t>
  </si>
  <si>
    <t>Cayman</t>
  </si>
  <si>
    <t>Renault</t>
  </si>
  <si>
    <t>Clio</t>
  </si>
  <si>
    <t>Kangoo</t>
  </si>
  <si>
    <t>Koleos</t>
  </si>
  <si>
    <t>Laguna</t>
  </si>
  <si>
    <t>Logan</t>
  </si>
  <si>
    <t>Megane</t>
  </si>
  <si>
    <t>Scenic</t>
  </si>
  <si>
    <t>Symbol</t>
  </si>
  <si>
    <t>Saab</t>
  </si>
  <si>
    <t>9 3</t>
  </si>
  <si>
    <t>9 5</t>
  </si>
  <si>
    <t>SEAT</t>
  </si>
  <si>
    <t>Leon</t>
  </si>
  <si>
    <t>Skoda</t>
  </si>
  <si>
    <t>Fabia</t>
  </si>
  <si>
    <t>Octavia</t>
  </si>
  <si>
    <t>Roomster</t>
  </si>
  <si>
    <t>Superb</t>
  </si>
  <si>
    <t>Smart</t>
  </si>
  <si>
    <t>Fortwo</t>
  </si>
  <si>
    <t>SsangYong</t>
  </si>
  <si>
    <t>Actyon</t>
  </si>
  <si>
    <t>Kyron</t>
  </si>
  <si>
    <t>Musso</t>
  </si>
  <si>
    <t>Rexton</t>
  </si>
  <si>
    <t>Rodius</t>
  </si>
  <si>
    <t>Tager</t>
  </si>
  <si>
    <t>Subaru</t>
  </si>
  <si>
    <t>Forester</t>
  </si>
  <si>
    <t>Impreza</t>
  </si>
  <si>
    <t>Legacy</t>
  </si>
  <si>
    <t>Outback</t>
  </si>
  <si>
    <t>Tribeca</t>
  </si>
  <si>
    <t>Suzuki</t>
  </si>
  <si>
    <t>Grand Vitara</t>
  </si>
  <si>
    <t>Jimny</t>
  </si>
  <si>
    <t>Splash</t>
  </si>
  <si>
    <t>Swift</t>
  </si>
  <si>
    <t>SX4</t>
  </si>
  <si>
    <t>Toyota</t>
  </si>
  <si>
    <t>Auris</t>
  </si>
  <si>
    <t>Avensis</t>
  </si>
  <si>
    <t>Camry</t>
  </si>
  <si>
    <t>Corolla</t>
  </si>
  <si>
    <t>FJ Cruiser</t>
  </si>
  <si>
    <t>Fortuner</t>
  </si>
  <si>
    <t>Highlander</t>
  </si>
  <si>
    <t>Hilux</t>
  </si>
  <si>
    <t>Land Cruiser</t>
  </si>
  <si>
    <t>Land Cruiser 120</t>
  </si>
  <si>
    <t>Prius</t>
  </si>
  <si>
    <t>RAV 4</t>
  </si>
  <si>
    <t>Sequoia</t>
  </si>
  <si>
    <t>Sienna</t>
  </si>
  <si>
    <t>Tundra</t>
  </si>
  <si>
    <t>Venza</t>
  </si>
  <si>
    <t>Yaris</t>
  </si>
  <si>
    <t>Volkswagen</t>
  </si>
  <si>
    <t>Caddy</t>
  </si>
  <si>
    <t>Eos</t>
  </si>
  <si>
    <t>Golf</t>
  </si>
  <si>
    <t>Golf Plus</t>
  </si>
  <si>
    <t>Jetta</t>
  </si>
  <si>
    <t>Multivan</t>
  </si>
  <si>
    <t>NEW Beetle</t>
  </si>
  <si>
    <t>Passat</t>
  </si>
  <si>
    <t>Phaeton</t>
  </si>
  <si>
    <t>Polo</t>
  </si>
  <si>
    <t>Scirocco</t>
  </si>
  <si>
    <t>Tiguan</t>
  </si>
  <si>
    <t>Touareg</t>
  </si>
  <si>
    <t>Touran</t>
  </si>
  <si>
    <t>Volvo</t>
  </si>
  <si>
    <t>C30</t>
  </si>
  <si>
    <t>C70</t>
  </si>
  <si>
    <t>S40</t>
  </si>
  <si>
    <t>S60</t>
  </si>
  <si>
    <t>S80</t>
  </si>
  <si>
    <t>V50</t>
  </si>
  <si>
    <t>V70</t>
  </si>
  <si>
    <t>XC60</t>
  </si>
  <si>
    <t>XC70</t>
  </si>
  <si>
    <t>XC90</t>
  </si>
  <si>
    <t>Участки</t>
  </si>
  <si>
    <t>В участок №</t>
  </si>
  <si>
    <t>Адрес</t>
  </si>
  <si>
    <t>Номер направления</t>
  </si>
  <si>
    <t>Участок/направление</t>
  </si>
  <si>
    <t>Запчасти/дефекты</t>
  </si>
  <si>
    <t>Дефекты</t>
  </si>
  <si>
    <t>Что было с автомобилем</t>
  </si>
  <si>
    <t>Информация о ремонтах</t>
  </si>
  <si>
    <t>Время</t>
  </si>
  <si>
    <t>Был в ремонте</t>
  </si>
  <si>
    <t>раз(а)</t>
  </si>
  <si>
    <t>Сегодня поступили в ремонт:</t>
  </si>
  <si>
    <t>Участок/направление/где</t>
  </si>
  <si>
    <t>Где будет ждать</t>
  </si>
  <si>
    <t>В624СВ150</t>
  </si>
  <si>
    <t>клиент</t>
  </si>
  <si>
    <t>У002ЕТ177</t>
  </si>
  <si>
    <t>С422ТХ97</t>
  </si>
  <si>
    <t>12-11-06-09</t>
  </si>
  <si>
    <t>Сегодня поступили</t>
  </si>
  <si>
    <t>Обнаруженые дефекты</t>
  </si>
  <si>
    <t>Заказанные запчасти</t>
  </si>
  <si>
    <t>Выберите код заказа</t>
  </si>
  <si>
    <t>или госномер</t>
  </si>
  <si>
    <t>К036МН199</t>
  </si>
  <si>
    <t>ВАЗ</t>
  </si>
  <si>
    <t>2121 4x4</t>
  </si>
  <si>
    <t>Kalina</t>
  </si>
  <si>
    <t>Priora</t>
  </si>
  <si>
    <t>ГАЗ</t>
  </si>
  <si>
    <t>SIBER</t>
  </si>
  <si>
    <t>УАЗ</t>
  </si>
  <si>
    <t>23632 Pickup</t>
  </si>
  <si>
    <t>315195 Hunter</t>
  </si>
  <si>
    <t>3163 Patriot</t>
  </si>
  <si>
    <t/>
  </si>
  <si>
    <t>М411СС150</t>
  </si>
  <si>
    <t>Быстрый ремонт</t>
  </si>
  <si>
    <t>из них БР</t>
  </si>
  <si>
    <t>Время выдачи</t>
  </si>
  <si>
    <t>Дата конца события</t>
  </si>
  <si>
    <t>Прием заказа</t>
  </si>
  <si>
    <t>План поставки</t>
  </si>
  <si>
    <t>План окончания работ</t>
  </si>
  <si>
    <t>Дата окончания события</t>
  </si>
  <si>
    <t>Итоговое примечание</t>
  </si>
  <si>
    <t>Дата окончания</t>
  </si>
  <si>
    <t>Mercedes_Benz</t>
  </si>
  <si>
    <r>
      <t xml:space="preserve">Краткое описание листов
</t>
    </r>
    <r>
      <rPr>
        <b/>
        <sz val="11"/>
        <color indexed="8"/>
        <rFont val="Calibri"/>
        <family val="2"/>
      </rPr>
      <t>"Auto"</t>
    </r>
    <r>
      <rPr>
        <sz val="11"/>
        <color theme="1"/>
        <rFont val="Calibri"/>
        <family val="2"/>
      </rPr>
      <t xml:space="preserve"> содержит базу всех автомобилей, которые когда-то были в сервисе. Существует для удобства ввода информации при повторном ремонте.
</t>
    </r>
    <r>
      <rPr>
        <b/>
        <sz val="11"/>
        <color indexed="8"/>
        <rFont val="Calibri"/>
        <family val="2"/>
      </rPr>
      <t>"Hiremont"</t>
    </r>
    <r>
      <rPr>
        <sz val="11"/>
        <color theme="1"/>
        <rFont val="Calibri"/>
        <family val="2"/>
      </rPr>
      <t xml:space="preserve"> содержит историю всех ремонтов.
</t>
    </r>
    <r>
      <rPr>
        <b/>
        <sz val="11"/>
        <color indexed="8"/>
        <rFont val="Calibri"/>
        <family val="2"/>
      </rPr>
      <t>"Sob"</t>
    </r>
    <r>
      <rPr>
        <sz val="11"/>
        <color theme="1"/>
        <rFont val="Calibri"/>
        <family val="2"/>
      </rPr>
      <t xml:space="preserve"> содержит историю всех событий для автомобилей находящихся в данный момент на учете в сервисе. При окончательной выдаче автомобиля клиенту все события, относящиеся к этому автомобилю из этой базы удаляются. Краткая информация заносится при этом в лист "Hiremont".
</t>
    </r>
    <r>
      <rPr>
        <b/>
        <sz val="11"/>
        <color indexed="8"/>
        <rFont val="Calibri"/>
        <family val="2"/>
      </rPr>
      <t>"Где автомобиль"</t>
    </r>
    <r>
      <rPr>
        <sz val="11"/>
        <color theme="1"/>
        <rFont val="Calibri"/>
        <family val="2"/>
      </rPr>
      <t xml:space="preserve"> -- это лист для просмотра информации об автомобилях и кнопка для события выдачи автомобиля клиенту.
</t>
    </r>
    <r>
      <rPr>
        <b/>
        <sz val="11"/>
        <color indexed="8"/>
        <rFont val="Calibri"/>
        <family val="2"/>
      </rPr>
      <t xml:space="preserve">"Сегодня" </t>
    </r>
    <r>
      <rPr>
        <sz val="11"/>
        <color theme="1"/>
        <rFont val="Calibri"/>
        <family val="2"/>
      </rPr>
      <t xml:space="preserve">-- ответ на вопрос, какие автомобили поступили в сервис сегодня.
</t>
    </r>
    <r>
      <rPr>
        <b/>
        <sz val="11"/>
        <color indexed="8"/>
        <rFont val="Calibri"/>
        <family val="2"/>
      </rPr>
      <t xml:space="preserve">"Что было" </t>
    </r>
    <r>
      <rPr>
        <sz val="11"/>
        <color theme="1"/>
        <rFont val="Calibri"/>
        <family val="2"/>
      </rPr>
      <t xml:space="preserve">-- ответ на вопрос, что делали с автомобилем ранее (выборка из истории ремонтов).
</t>
    </r>
    <r>
      <rPr>
        <b/>
        <sz val="11"/>
        <color indexed="8"/>
        <rFont val="Calibri"/>
        <family val="2"/>
      </rPr>
      <t>"Ввод данных"</t>
    </r>
    <r>
      <rPr>
        <sz val="11"/>
        <color theme="1"/>
        <rFont val="Calibri"/>
        <family val="2"/>
      </rPr>
      <t xml:space="preserve"> -- лист, накотором производится первичный ввод информации об автомобиле и производится запись события "Прием"
</t>
    </r>
    <r>
      <rPr>
        <b/>
        <sz val="11"/>
        <color indexed="8"/>
        <rFont val="Calibri"/>
        <family val="2"/>
      </rPr>
      <t>"Карта ремонта"</t>
    </r>
    <r>
      <rPr>
        <sz val="11"/>
        <color theme="1"/>
        <rFont val="Calibri"/>
        <family val="2"/>
      </rPr>
      <t xml:space="preserve"> -- оформление и распечатка служебного документа "Карта ремонта"
</t>
    </r>
    <r>
      <rPr>
        <b/>
        <sz val="11"/>
        <color indexed="8"/>
        <rFont val="Calibri"/>
        <family val="2"/>
      </rPr>
      <t>"Заказ запчастей"</t>
    </r>
    <r>
      <rPr>
        <sz val="11"/>
        <color theme="1"/>
        <rFont val="Calibri"/>
        <family val="2"/>
      </rPr>
      <t xml:space="preserve"> -- оформление и распечатка служебного документа "Заказ запчастей". Кнопка для записи события "Запчасти"
</t>
    </r>
    <r>
      <rPr>
        <b/>
        <sz val="11"/>
        <color indexed="8"/>
        <rFont val="Calibri"/>
        <family val="2"/>
      </rPr>
      <t xml:space="preserve">"Заказ-наряд" </t>
    </r>
    <r>
      <rPr>
        <sz val="11"/>
        <color theme="1"/>
        <rFont val="Calibri"/>
        <family val="2"/>
      </rPr>
      <t xml:space="preserve">-- оформление и распечатка служебного документа "Заказ-наряд" и кнопка для записи события "Ремонт".
</t>
    </r>
    <r>
      <rPr>
        <b/>
        <sz val="11"/>
        <color indexed="8"/>
        <rFont val="Calibri"/>
        <family val="2"/>
      </rPr>
      <t xml:space="preserve">"Акт приемки-сдачи" </t>
    </r>
    <r>
      <rPr>
        <sz val="11"/>
        <color theme="1"/>
        <rFont val="Calibri"/>
        <family val="2"/>
      </rPr>
      <t xml:space="preserve">-- оформление и распечатка служебного документа.
</t>
    </r>
    <r>
      <rPr>
        <b/>
        <sz val="11"/>
        <color indexed="8"/>
        <rFont val="Calibri"/>
        <family val="2"/>
      </rPr>
      <t>"Инфо"</t>
    </r>
    <r>
      <rPr>
        <sz val="11"/>
        <color theme="1"/>
        <rFont val="Calibri"/>
        <family val="2"/>
      </rPr>
      <t xml:space="preserve"> -- этот лист. Помощь, инструкции и разъяснения.
</t>
    </r>
    <r>
      <rPr>
        <b/>
        <sz val="11"/>
        <color indexed="8"/>
        <rFont val="Calibri"/>
        <family val="2"/>
      </rPr>
      <t>"Spravochnik"</t>
    </r>
    <r>
      <rPr>
        <sz val="11"/>
        <color theme="1"/>
        <rFont val="Calibri"/>
        <family val="2"/>
      </rPr>
      <t xml:space="preserve"> -- исходные данные для подстановки в списки.
</t>
    </r>
  </si>
  <si>
    <t>О343РС43</t>
  </si>
  <si>
    <t>17-04-07-09</t>
  </si>
  <si>
    <t xml:space="preserve">Деталь1
Деталь2
</t>
  </si>
  <si>
    <t xml:space="preserve">Деталь 3
Деталь 4
</t>
  </si>
  <si>
    <t xml:space="preserve">Поломка 1
Поломка 2
</t>
  </si>
  <si>
    <t>Р332ОР32</t>
  </si>
  <si>
    <t>18-04-07-09</t>
  </si>
  <si>
    <t xml:space="preserve">железяка 1
</t>
  </si>
  <si>
    <t xml:space="preserve">Дефект раз
Дефект два
</t>
  </si>
  <si>
    <t>О233РТ44</t>
  </si>
  <si>
    <t>19-04-07-09</t>
  </si>
  <si>
    <t xml:space="preserve">Железяка 3
Деталь 4
</t>
  </si>
  <si>
    <t xml:space="preserve">Дефект 4
Поломка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</si>
</sst>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400]h:mm:ss\ AM/PM"/>
    <numFmt numFmtId="172" formatCode="h:mm:ss;@"/>
    <numFmt numFmtId="173" formatCode="d/mm\ h:mm;@"/>
    <numFmt numFmtId="174" formatCode="d/mm/\ h:mm;@"/>
    <numFmt numFmtId="175" formatCode="h:mm;@"/>
    <numFmt numFmtId="176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8"/>
      <name val="Wingdings"/>
      <family val="0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Wingdings"/>
      <family val="0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3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>
        <color theme="4" tint="0.49998000264167786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>
        <color indexed="63"/>
      </bottom>
    </border>
    <border>
      <left>
        <color indexed="63"/>
      </left>
      <right style="thin"/>
      <top style="thick">
        <color theme="4" tint="0.49998000264167786"/>
      </top>
      <bottom>
        <color indexed="63"/>
      </bottom>
    </border>
    <border>
      <left style="thin"/>
      <right>
        <color indexed="63"/>
      </right>
      <top style="thick">
        <color theme="4" tint="0.49998000264167786"/>
      </top>
      <bottom style="thin"/>
    </border>
    <border>
      <left>
        <color indexed="63"/>
      </left>
      <right style="thin"/>
      <top style="thick">
        <color theme="4" tint="0.4999800026416778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0" fillId="27" borderId="2">
      <alignment/>
      <protection locked="0"/>
    </xf>
    <xf numFmtId="0" fontId="0" fillId="28" borderId="2">
      <alignment/>
      <protection locked="0"/>
    </xf>
    <xf numFmtId="0" fontId="34" fillId="29" borderId="3" applyNumberFormat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0">
      <alignment horizontal="left" vertical="center"/>
      <protection/>
    </xf>
    <xf numFmtId="0" fontId="42" fillId="0" borderId="0">
      <alignment/>
      <protection/>
    </xf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0" fillId="31" borderId="2">
      <alignment/>
      <protection locked="0"/>
    </xf>
    <xf numFmtId="0" fontId="45" fillId="3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0" fillId="0" borderId="8">
      <alignment horizontal="center"/>
      <protection/>
    </xf>
    <xf numFmtId="0" fontId="48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0" fillId="35" borderId="2">
      <alignment/>
      <protection locked="0"/>
    </xf>
    <xf numFmtId="0" fontId="50" fillId="0" borderId="0" applyNumberFormat="0" applyFill="0" applyBorder="0" applyAlignment="0" applyProtection="0"/>
    <xf numFmtId="0" fontId="0" fillId="36" borderId="2">
      <alignment horizont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7" borderId="2">
      <alignment/>
      <protection/>
    </xf>
    <xf numFmtId="0" fontId="51" fillId="38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9" fontId="4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27" borderId="2" xfId="40">
      <alignment/>
      <protection locked="0"/>
    </xf>
    <xf numFmtId="0" fontId="0" fillId="39" borderId="2" xfId="0" applyFill="1" applyBorder="1" applyAlignment="1">
      <alignment/>
    </xf>
    <xf numFmtId="0" fontId="0" fillId="27" borderId="2" xfId="40" applyBorder="1">
      <alignment/>
      <protection locked="0"/>
    </xf>
    <xf numFmtId="0" fontId="0" fillId="40" borderId="2" xfId="0" applyFill="1" applyBorder="1" applyAlignment="1">
      <alignment/>
    </xf>
    <xf numFmtId="0" fontId="0" fillId="35" borderId="2" xfId="0" applyFill="1" applyBorder="1" applyAlignment="1">
      <alignment/>
    </xf>
    <xf numFmtId="0" fontId="0" fillId="37" borderId="2" xfId="71">
      <alignment/>
      <protection/>
    </xf>
    <xf numFmtId="0" fontId="39" fillId="0" borderId="0" xfId="49" applyAlignment="1">
      <alignment/>
    </xf>
    <xf numFmtId="0" fontId="39" fillId="0" borderId="0" xfId="49" applyFill="1" applyAlignment="1">
      <alignment/>
    </xf>
    <xf numFmtId="0" fontId="0" fillId="27" borderId="2" xfId="40">
      <alignment/>
      <protection locked="0"/>
    </xf>
    <xf numFmtId="0" fontId="39" fillId="0" borderId="0" xfId="5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right" indent="1"/>
    </xf>
    <xf numFmtId="0" fontId="39" fillId="0" borderId="0" xfId="49" applyAlignment="1">
      <alignment horizontal="right"/>
    </xf>
    <xf numFmtId="0" fontId="41" fillId="0" borderId="0" xfId="52">
      <alignment horizontal="left" vertical="center"/>
      <protection/>
    </xf>
    <xf numFmtId="0" fontId="42" fillId="0" borderId="0" xfId="53" applyAlignment="1">
      <alignment vertical="center" wrapText="1"/>
      <protection/>
    </xf>
    <xf numFmtId="0" fontId="42" fillId="0" borderId="0" xfId="53" applyAlignment="1">
      <alignment vertical="center"/>
      <protection/>
    </xf>
    <xf numFmtId="0" fontId="41" fillId="0" borderId="0" xfId="52" applyAlignment="1">
      <alignment vertical="center"/>
      <protection/>
    </xf>
    <xf numFmtId="0" fontId="41" fillId="0" borderId="0" xfId="52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8" xfId="61">
      <alignment horizontal="center"/>
      <protection/>
    </xf>
    <xf numFmtId="0" fontId="0" fillId="37" borderId="2" xfId="71">
      <alignment/>
      <protection/>
    </xf>
    <xf numFmtId="0" fontId="0" fillId="27" borderId="2" xfId="40" quotePrefix="1">
      <alignment/>
      <protection locked="0"/>
    </xf>
    <xf numFmtId="49" fontId="39" fillId="0" borderId="0" xfId="49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NumberFormat="1" applyAlignment="1">
      <alignment/>
    </xf>
    <xf numFmtId="165" fontId="40" fillId="0" borderId="0" xfId="0" applyNumberFormat="1" applyFont="1" applyAlignment="1">
      <alignment/>
    </xf>
    <xf numFmtId="0" fontId="38" fillId="0" borderId="5" xfId="48" applyAlignment="1">
      <alignment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0" fontId="0" fillId="27" borderId="2" xfId="40">
      <alignment/>
      <protection locked="0"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165" fontId="39" fillId="0" borderId="0" xfId="49" applyNumberFormat="1" applyAlignment="1">
      <alignment/>
    </xf>
    <xf numFmtId="0" fontId="38" fillId="0" borderId="5" xfId="48" applyAlignment="1">
      <alignment/>
    </xf>
    <xf numFmtId="0" fontId="37" fillId="0" borderId="4" xfId="47" applyAlignment="1">
      <alignment/>
    </xf>
    <xf numFmtId="0" fontId="36" fillId="0" borderId="0" xfId="44" applyAlignment="1" applyProtection="1">
      <alignment/>
      <protection/>
    </xf>
    <xf numFmtId="0" fontId="54" fillId="0" borderId="0" xfId="0" applyFont="1" applyAlignment="1">
      <alignment/>
    </xf>
    <xf numFmtId="0" fontId="0" fillId="36" borderId="2" xfId="68">
      <alignment horizontal="center"/>
      <protection locked="0"/>
    </xf>
    <xf numFmtId="0" fontId="54" fillId="0" borderId="0" xfId="0" applyFont="1" applyAlignment="1">
      <alignment horizontal="right"/>
    </xf>
    <xf numFmtId="0" fontId="54" fillId="28" borderId="2" xfId="41" applyFont="1">
      <alignment/>
      <protection locked="0"/>
    </xf>
    <xf numFmtId="0" fontId="54" fillId="0" borderId="0" xfId="0" applyFont="1" applyAlignment="1" quotePrefix="1">
      <alignment/>
    </xf>
    <xf numFmtId="14" fontId="0" fillId="36" borderId="2" xfId="68" applyNumberFormat="1">
      <alignment horizontal="center"/>
      <protection locked="0"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0" fontId="0" fillId="37" borderId="2" xfId="71">
      <alignment/>
      <protection/>
    </xf>
    <xf numFmtId="14" fontId="40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14" fontId="39" fillId="0" borderId="0" xfId="49" applyNumberFormat="1" applyAlignment="1">
      <alignment/>
    </xf>
    <xf numFmtId="171" fontId="0" fillId="0" borderId="0" xfId="0" applyNumberFormat="1" applyAlignment="1">
      <alignment/>
    </xf>
    <xf numFmtId="0" fontId="0" fillId="37" borderId="2" xfId="71">
      <alignment/>
      <protection/>
    </xf>
    <xf numFmtId="0" fontId="0" fillId="28" borderId="2" xfId="41">
      <alignment/>
      <protection locked="0"/>
    </xf>
    <xf numFmtId="0" fontId="0" fillId="27" borderId="2" xfId="40">
      <alignment/>
      <protection locked="0"/>
    </xf>
    <xf numFmtId="0" fontId="0" fillId="37" borderId="2" xfId="71">
      <alignment/>
      <protection/>
    </xf>
    <xf numFmtId="14" fontId="0" fillId="37" borderId="2" xfId="71" applyNumberFormat="1">
      <alignment/>
      <protection/>
    </xf>
    <xf numFmtId="0" fontId="36" fillId="0" borderId="0" xfId="44" applyAlignment="1" applyProtection="1">
      <alignment/>
      <protection/>
    </xf>
    <xf numFmtId="0" fontId="55" fillId="37" borderId="2" xfId="71" applyFont="1">
      <alignment/>
      <protection/>
    </xf>
    <xf numFmtId="0" fontId="36" fillId="0" borderId="0" xfId="44" applyAlignment="1" applyProtection="1">
      <alignment/>
      <protection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14" fontId="0" fillId="37" borderId="2" xfId="71" applyNumberFormat="1">
      <alignment/>
      <protection/>
    </xf>
    <xf numFmtId="0" fontId="0" fillId="37" borderId="2" xfId="71" applyAlignment="1">
      <alignment wrapText="1"/>
      <protection/>
    </xf>
    <xf numFmtId="14" fontId="0" fillId="37" borderId="2" xfId="71" applyNumberFormat="1" applyAlignment="1">
      <alignment wrapText="1"/>
      <protection/>
    </xf>
    <xf numFmtId="0" fontId="0" fillId="28" borderId="2" xfId="41" applyAlignment="1">
      <alignment wrapText="1"/>
      <protection locked="0"/>
    </xf>
    <xf numFmtId="0" fontId="0" fillId="27" borderId="2" xfId="40">
      <alignment/>
      <protection locked="0"/>
    </xf>
    <xf numFmtId="0" fontId="0" fillId="37" borderId="2" xfId="71">
      <alignment/>
      <protection/>
    </xf>
    <xf numFmtId="0" fontId="0" fillId="28" borderId="2" xfId="41">
      <alignment/>
      <protection locked="0"/>
    </xf>
    <xf numFmtId="14" fontId="0" fillId="31" borderId="2" xfId="56" applyNumberFormat="1">
      <alignment/>
      <protection locked="0"/>
    </xf>
    <xf numFmtId="0" fontId="38" fillId="0" borderId="5" xfId="48" applyAlignment="1">
      <alignment wrapText="1"/>
    </xf>
    <xf numFmtId="0" fontId="39" fillId="0" borderId="0" xfId="49" applyAlignment="1">
      <alignment wrapText="1"/>
    </xf>
    <xf numFmtId="0" fontId="0" fillId="31" borderId="2" xfId="56">
      <alignment/>
      <protection locked="0"/>
    </xf>
    <xf numFmtId="0" fontId="39" fillId="0" borderId="0" xfId="49" applyFill="1" applyBorder="1" applyAlignment="1">
      <alignment/>
    </xf>
    <xf numFmtId="0" fontId="56" fillId="37" borderId="2" xfId="71" applyFont="1" applyAlignment="1">
      <alignment wrapText="1"/>
      <protection/>
    </xf>
    <xf numFmtId="0" fontId="0" fillId="28" borderId="2" xfId="41">
      <alignment/>
      <protection locked="0"/>
    </xf>
    <xf numFmtId="0" fontId="0" fillId="37" borderId="2" xfId="71">
      <alignment/>
      <protection/>
    </xf>
    <xf numFmtId="0" fontId="0" fillId="31" borderId="2" xfId="56">
      <alignment/>
      <protection locked="0"/>
    </xf>
    <xf numFmtId="0" fontId="0" fillId="27" borderId="2" xfId="40">
      <alignment/>
      <protection locked="0"/>
    </xf>
    <xf numFmtId="14" fontId="0" fillId="37" borderId="2" xfId="71" applyNumberFormat="1">
      <alignment/>
      <protection/>
    </xf>
    <xf numFmtId="0" fontId="0" fillId="31" borderId="2" xfId="56">
      <alignment/>
      <protection locked="0"/>
    </xf>
    <xf numFmtId="165" fontId="0" fillId="37" borderId="2" xfId="71" applyNumberFormat="1">
      <alignment/>
      <protection/>
    </xf>
    <xf numFmtId="20" fontId="0" fillId="31" borderId="2" xfId="56" applyNumberFormat="1">
      <alignment/>
      <protection locked="0"/>
    </xf>
    <xf numFmtId="171" fontId="38" fillId="0" borderId="5" xfId="48" applyNumberFormat="1" applyAlignment="1">
      <alignment/>
    </xf>
    <xf numFmtId="165" fontId="57" fillId="0" borderId="0" xfId="49" applyNumberFormat="1" applyFont="1" applyAlignment="1">
      <alignment vertical="center" wrapText="1"/>
    </xf>
    <xf numFmtId="0" fontId="57" fillId="0" borderId="0" xfId="49" applyFont="1" applyAlignment="1">
      <alignment vertical="center" wrapText="1"/>
    </xf>
    <xf numFmtId="0" fontId="57" fillId="0" borderId="0" xfId="49" applyFont="1" applyFill="1" applyAlignment="1">
      <alignment vertical="center" wrapText="1"/>
    </xf>
    <xf numFmtId="165" fontId="39" fillId="0" borderId="0" xfId="49" applyNumberFormat="1" applyFont="1" applyAlignment="1">
      <alignment vertical="center" wrapText="1"/>
    </xf>
    <xf numFmtId="0" fontId="39" fillId="0" borderId="0" xfId="49" applyFont="1" applyAlignment="1">
      <alignment vertical="center" wrapText="1"/>
    </xf>
    <xf numFmtId="0" fontId="39" fillId="0" borderId="0" xfId="49" applyFont="1" applyFill="1" applyAlignment="1">
      <alignment vertical="center" wrapText="1"/>
    </xf>
    <xf numFmtId="0" fontId="39" fillId="0" borderId="0" xfId="49" applyFont="1" applyAlignment="1">
      <alignment wrapText="1"/>
    </xf>
    <xf numFmtId="0" fontId="0" fillId="27" borderId="2" xfId="40">
      <alignment/>
      <protection locked="0"/>
    </xf>
    <xf numFmtId="0" fontId="0" fillId="28" borderId="2" xfId="41">
      <alignment/>
      <protection locked="0"/>
    </xf>
    <xf numFmtId="0" fontId="0" fillId="31" borderId="2" xfId="56">
      <alignment/>
      <protection locked="0"/>
    </xf>
    <xf numFmtId="0" fontId="0" fillId="27" borderId="2" xfId="40">
      <alignment/>
      <protection locked="0"/>
    </xf>
    <xf numFmtId="0" fontId="56" fillId="31" borderId="16" xfId="56" applyFont="1" applyBorder="1" applyAlignment="1">
      <alignment horizontal="left" vertical="top" wrapText="1"/>
      <protection locked="0"/>
    </xf>
    <xf numFmtId="0" fontId="56" fillId="31" borderId="17" xfId="56" applyFont="1" applyBorder="1" applyAlignment="1">
      <alignment horizontal="left" vertical="top"/>
      <protection locked="0"/>
    </xf>
    <xf numFmtId="0" fontId="56" fillId="31" borderId="18" xfId="56" applyFont="1" applyBorder="1" applyAlignment="1">
      <alignment horizontal="left" vertical="top"/>
      <protection locked="0"/>
    </xf>
    <xf numFmtId="0" fontId="56" fillId="31" borderId="19" xfId="56" applyFont="1" applyBorder="1" applyAlignment="1">
      <alignment horizontal="left" vertical="top"/>
      <protection locked="0"/>
    </xf>
    <xf numFmtId="0" fontId="56" fillId="31" borderId="20" xfId="56" applyFont="1" applyBorder="1" applyAlignment="1">
      <alignment horizontal="left" vertical="top"/>
      <protection locked="0"/>
    </xf>
    <xf numFmtId="0" fontId="56" fillId="31" borderId="21" xfId="56" applyFont="1" applyBorder="1" applyAlignment="1">
      <alignment horizontal="left" vertical="top"/>
      <protection locked="0"/>
    </xf>
    <xf numFmtId="0" fontId="38" fillId="0" borderId="5" xfId="48" applyAlignment="1">
      <alignment horizontal="center"/>
    </xf>
    <xf numFmtId="0" fontId="37" fillId="0" borderId="4" xfId="47" applyAlignment="1">
      <alignment horizontal="center"/>
    </xf>
    <xf numFmtId="0" fontId="56" fillId="37" borderId="16" xfId="71" applyFont="1" applyBorder="1" applyAlignment="1">
      <alignment vertical="top" wrapText="1"/>
      <protection/>
    </xf>
    <xf numFmtId="0" fontId="56" fillId="37" borderId="17" xfId="71" applyFont="1" applyBorder="1" applyAlignment="1">
      <alignment vertical="top" wrapText="1"/>
      <protection/>
    </xf>
    <xf numFmtId="0" fontId="56" fillId="37" borderId="18" xfId="71" applyFont="1" applyBorder="1" applyAlignment="1">
      <alignment vertical="top" wrapText="1"/>
      <protection/>
    </xf>
    <xf numFmtId="0" fontId="56" fillId="37" borderId="19" xfId="71" applyFont="1" applyBorder="1" applyAlignment="1">
      <alignment vertical="top" wrapText="1"/>
      <protection/>
    </xf>
    <xf numFmtId="0" fontId="56" fillId="37" borderId="20" xfId="71" applyFont="1" applyBorder="1" applyAlignment="1">
      <alignment vertical="top" wrapText="1"/>
      <protection/>
    </xf>
    <xf numFmtId="0" fontId="56" fillId="37" borderId="21" xfId="71" applyFont="1" applyBorder="1" applyAlignment="1">
      <alignment vertical="top" wrapText="1"/>
      <protection/>
    </xf>
    <xf numFmtId="0" fontId="56" fillId="37" borderId="2" xfId="71" applyFont="1" applyAlignment="1">
      <alignment horizontal="left" vertical="top" wrapText="1"/>
      <protection/>
    </xf>
    <xf numFmtId="14" fontId="0" fillId="37" borderId="2" xfId="71" applyNumberFormat="1">
      <alignment/>
      <protection/>
    </xf>
    <xf numFmtId="0" fontId="0" fillId="37" borderId="2" xfId="71">
      <alignment/>
      <protection/>
    </xf>
    <xf numFmtId="0" fontId="0" fillId="28" borderId="2" xfId="41">
      <alignment/>
      <protection locked="0"/>
    </xf>
    <xf numFmtId="0" fontId="36" fillId="0" borderId="0" xfId="44" applyAlignment="1" applyProtection="1">
      <alignment/>
      <protection/>
    </xf>
    <xf numFmtId="0" fontId="0" fillId="27" borderId="22" xfId="40" applyFont="1" applyBorder="1" applyAlignment="1">
      <alignment/>
      <protection locked="0"/>
    </xf>
    <xf numFmtId="0" fontId="0" fillId="27" borderId="12" xfId="40" applyFont="1" applyBorder="1" applyAlignment="1">
      <alignment/>
      <protection locked="0"/>
    </xf>
    <xf numFmtId="0" fontId="0" fillId="27" borderId="13" xfId="40" applyFont="1" applyBorder="1" applyAlignment="1">
      <alignment/>
      <protection locked="0"/>
    </xf>
    <xf numFmtId="0" fontId="39" fillId="0" borderId="0" xfId="49" applyAlignment="1">
      <alignment horizontal="center"/>
    </xf>
    <xf numFmtId="0" fontId="0" fillId="27" borderId="2" xfId="40" applyFont="1">
      <alignment/>
      <protection locked="0"/>
    </xf>
    <xf numFmtId="0" fontId="36" fillId="0" borderId="0" xfId="44" applyBorder="1" applyAlignment="1" applyProtection="1">
      <alignment/>
      <protection/>
    </xf>
    <xf numFmtId="14" fontId="0" fillId="37" borderId="22" xfId="71" applyNumberFormat="1" applyBorder="1" applyAlignment="1">
      <alignment horizontal="center"/>
      <protection/>
    </xf>
    <xf numFmtId="0" fontId="0" fillId="37" borderId="13" xfId="71" applyBorder="1" applyAlignment="1">
      <alignment horizontal="center"/>
      <protection/>
    </xf>
    <xf numFmtId="14" fontId="0" fillId="36" borderId="2" xfId="68" applyNumberFormat="1">
      <alignment horizontal="center"/>
      <protection locked="0"/>
    </xf>
    <xf numFmtId="0" fontId="0" fillId="36" borderId="2" xfId="68">
      <alignment horizontal="center"/>
      <protection locked="0"/>
    </xf>
    <xf numFmtId="0" fontId="42" fillId="0" borderId="0" xfId="53" applyAlignment="1">
      <alignment horizontal="center"/>
      <protection/>
    </xf>
    <xf numFmtId="0" fontId="0" fillId="37" borderId="22" xfId="71" applyBorder="1" applyAlignment="1">
      <alignment horizontal="center"/>
      <protection/>
    </xf>
    <xf numFmtId="0" fontId="0" fillId="37" borderId="12" xfId="71" applyBorder="1" applyAlignment="1">
      <alignment horizontal="center"/>
      <protection/>
    </xf>
    <xf numFmtId="0" fontId="0" fillId="31" borderId="2" xfId="56">
      <alignment/>
      <protection locked="0"/>
    </xf>
    <xf numFmtId="0" fontId="0" fillId="0" borderId="0" xfId="0" applyAlignment="1">
      <alignment horizontal="center"/>
    </xf>
    <xf numFmtId="0" fontId="38" fillId="0" borderId="0" xfId="48" applyBorder="1" applyAlignment="1">
      <alignment horizontal="center"/>
    </xf>
    <xf numFmtId="14" fontId="0" fillId="27" borderId="2" xfId="40" applyNumberFormat="1">
      <alignment/>
      <protection locked="0"/>
    </xf>
    <xf numFmtId="0" fontId="56" fillId="31" borderId="2" xfId="56" applyFont="1" applyAlignment="1">
      <alignment vertical="top"/>
      <protection locked="0"/>
    </xf>
    <xf numFmtId="0" fontId="56" fillId="31" borderId="2" xfId="56" applyFont="1" applyAlignment="1">
      <alignment vertical="top" wrapText="1"/>
      <protection locked="0"/>
    </xf>
    <xf numFmtId="0" fontId="55" fillId="37" borderId="23" xfId="71" applyFont="1" applyBorder="1" applyAlignment="1">
      <alignment horizontal="left" vertical="top" wrapText="1"/>
      <protection/>
    </xf>
    <xf numFmtId="0" fontId="55" fillId="37" borderId="24" xfId="71" applyFont="1" applyBorder="1" applyAlignment="1">
      <alignment horizontal="left" vertical="top" wrapText="1"/>
      <protection/>
    </xf>
    <xf numFmtId="0" fontId="55" fillId="37" borderId="25" xfId="71" applyFont="1" applyBorder="1" applyAlignment="1">
      <alignment horizontal="left" vertical="top" wrapText="1"/>
      <protection/>
    </xf>
    <xf numFmtId="0" fontId="55" fillId="37" borderId="18" xfId="71" applyFont="1" applyBorder="1" applyAlignment="1">
      <alignment horizontal="left" vertical="top" wrapText="1"/>
      <protection/>
    </xf>
    <xf numFmtId="0" fontId="55" fillId="37" borderId="0" xfId="71" applyFont="1" applyBorder="1" applyAlignment="1">
      <alignment horizontal="left" vertical="top" wrapText="1"/>
      <protection/>
    </xf>
    <xf numFmtId="0" fontId="55" fillId="37" borderId="19" xfId="71" applyFont="1" applyBorder="1" applyAlignment="1">
      <alignment horizontal="left" vertical="top" wrapText="1"/>
      <protection/>
    </xf>
    <xf numFmtId="0" fontId="55" fillId="37" borderId="20" xfId="71" applyFont="1" applyBorder="1" applyAlignment="1">
      <alignment horizontal="left" vertical="top" wrapText="1"/>
      <protection/>
    </xf>
    <xf numFmtId="0" fontId="55" fillId="37" borderId="8" xfId="71" applyFont="1" applyBorder="1" applyAlignment="1">
      <alignment horizontal="left" vertical="top" wrapText="1"/>
      <protection/>
    </xf>
    <xf numFmtId="0" fontId="55" fillId="37" borderId="21" xfId="7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28" borderId="26" xfId="41" applyBorder="1">
      <alignment/>
      <protection locked="0"/>
    </xf>
    <xf numFmtId="0" fontId="0" fillId="28" borderId="27" xfId="41" applyBorder="1">
      <alignment/>
      <protection locked="0"/>
    </xf>
    <xf numFmtId="0" fontId="38" fillId="0" borderId="5" xfId="48" applyAlignment="1">
      <alignment horizontal="left"/>
    </xf>
    <xf numFmtId="0" fontId="39" fillId="0" borderId="0" xfId="49" applyAlignment="1">
      <alignment horizontal="right"/>
    </xf>
    <xf numFmtId="0" fontId="41" fillId="0" borderId="0" xfId="52" applyAlignment="1">
      <alignment horizontal="left" vertical="center"/>
      <protection/>
    </xf>
    <xf numFmtId="0" fontId="42" fillId="0" borderId="0" xfId="53" applyAlignment="1">
      <alignment vertical="center" wrapText="1"/>
      <protection/>
    </xf>
    <xf numFmtId="0" fontId="38" fillId="0" borderId="5" xfId="48" applyAlignment="1">
      <alignment horizontal="right"/>
    </xf>
    <xf numFmtId="0" fontId="40" fillId="0" borderId="0" xfId="51" applyBorder="1" applyAlignment="1">
      <alignment horizontal="center"/>
    </xf>
    <xf numFmtId="0" fontId="0" fillId="0" borderId="8" xfId="0" applyBorder="1" applyAlignment="1">
      <alignment horizontal="center"/>
    </xf>
    <xf numFmtId="0" fontId="42" fillId="0" borderId="28" xfId="53" applyBorder="1" applyAlignment="1">
      <alignment horizontal="center" vertical="top"/>
      <protection/>
    </xf>
    <xf numFmtId="170" fontId="0" fillId="37" borderId="2" xfId="71" applyNumberFormat="1">
      <alignment/>
      <protection/>
    </xf>
    <xf numFmtId="0" fontId="0" fillId="0" borderId="8" xfId="0" applyBorder="1" applyAlignment="1">
      <alignment horizontal="left"/>
    </xf>
    <xf numFmtId="0" fontId="58" fillId="0" borderId="0" xfId="0" applyFont="1" applyAlignment="1">
      <alignment horizontal="left" vertical="top" wrapText="1"/>
    </xf>
    <xf numFmtId="0" fontId="0" fillId="27" borderId="2" xfId="40" applyAlignment="1">
      <alignment wrapText="1"/>
      <protection locked="0"/>
    </xf>
    <xf numFmtId="0" fontId="0" fillId="27" borderId="2" xfId="40" applyFont="1" applyAlignment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водится вручную" xfId="40"/>
    <cellStyle name="Выбрать из списка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вадрат" xfId="52"/>
    <cellStyle name="Комментарий" xfId="53"/>
    <cellStyle name="Контрольная ячейка" xfId="54"/>
    <cellStyle name="Название" xfId="55"/>
    <cellStyle name="Не трогать" xfId="56"/>
    <cellStyle name="Нейтральный" xfId="57"/>
    <cellStyle name="Обычный 2" xfId="58"/>
    <cellStyle name="Followed Hyperlink" xfId="59"/>
    <cellStyle name="Плохой" xfId="60"/>
    <cellStyle name="Подпись" xfId="61"/>
    <cellStyle name="Пояснение" xfId="62"/>
    <cellStyle name="Примечание" xfId="63"/>
    <cellStyle name="Percent" xfId="64"/>
    <cellStyle name="Связанная ячейка" xfId="65"/>
    <cellStyle name="Служебное" xfId="66"/>
    <cellStyle name="Текст предупреждения" xfId="67"/>
    <cellStyle name="Только для бумаги" xfId="68"/>
    <cellStyle name="Comma" xfId="69"/>
    <cellStyle name="Comma [0]" xfId="70"/>
    <cellStyle name="Формулы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</xdr:row>
      <xdr:rowOff>66675</xdr:rowOff>
    </xdr:from>
    <xdr:to>
      <xdr:col>20</xdr:col>
      <xdr:colOff>0</xdr:colOff>
      <xdr:row>23</xdr:row>
      <xdr:rowOff>95250</xdr:rowOff>
    </xdr:to>
    <xdr:sp textlink="$B$6">
      <xdr:nvSpPr>
        <xdr:cNvPr id="1" name="Прямоугольник 1"/>
        <xdr:cNvSpPr>
          <a:spLocks/>
        </xdr:cNvSpPr>
      </xdr:nvSpPr>
      <xdr:spPr>
        <a:xfrm>
          <a:off x="5619750" y="323850"/>
          <a:ext cx="1143000" cy="416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24</xdr:row>
      <xdr:rowOff>19050</xdr:rowOff>
    </xdr:from>
    <xdr:to>
      <xdr:col>6</xdr:col>
      <xdr:colOff>600075</xdr:colOff>
      <xdr:row>38</xdr:row>
      <xdr:rowOff>114300</xdr:rowOff>
    </xdr:to>
    <xdr:pic>
      <xdr:nvPicPr>
        <xdr:cNvPr id="1" name="Рисунок 1" descr="Новый рисун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62775"/>
          <a:ext cx="42386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K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1.28125" style="0" bestFit="1" customWidth="1"/>
    <col min="2" max="2" width="12.57421875" style="0" bestFit="1" customWidth="1"/>
    <col min="3" max="3" width="8.8515625" style="1" bestFit="1" customWidth="1"/>
    <col min="4" max="4" width="12.28125" style="0" bestFit="1" customWidth="1"/>
    <col min="5" max="5" width="12.57421875" style="0" bestFit="1" customWidth="1"/>
    <col min="6" max="6" width="16.57421875" style="0" customWidth="1"/>
    <col min="7" max="7" width="20.140625" style="0" customWidth="1"/>
    <col min="8" max="8" width="24.7109375" style="0" bestFit="1" customWidth="1"/>
    <col min="9" max="9" width="15.00390625" style="1" bestFit="1" customWidth="1"/>
  </cols>
  <sheetData>
    <row r="1" spans="1:11" ht="15" customHeight="1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52</v>
      </c>
      <c r="G1" s="3" t="s">
        <v>53</v>
      </c>
      <c r="H1" s="3" t="s">
        <v>61</v>
      </c>
      <c r="I1" s="5" t="s">
        <v>6</v>
      </c>
      <c r="J1" s="3" t="s">
        <v>743</v>
      </c>
      <c r="K1" s="3"/>
    </row>
    <row r="2" spans="1:10" s="103" customFormat="1" ht="15">
      <c r="A2" s="103" t="s">
        <v>791</v>
      </c>
      <c r="B2" s="103" t="s">
        <v>789</v>
      </c>
      <c r="C2" s="103" t="s">
        <v>598</v>
      </c>
      <c r="D2" s="103" t="s">
        <v>777</v>
      </c>
      <c r="E2" s="103" t="s">
        <v>777</v>
      </c>
      <c r="F2" s="103" t="s">
        <v>777</v>
      </c>
      <c r="G2" s="103" t="s">
        <v>777</v>
      </c>
      <c r="H2" s="103" t="s">
        <v>777</v>
      </c>
      <c r="I2" s="103" t="s">
        <v>777</v>
      </c>
      <c r="J2" s="103">
        <v>0</v>
      </c>
    </row>
    <row r="3" spans="1:10" s="103" customFormat="1" ht="15">
      <c r="A3" s="103" t="s">
        <v>796</v>
      </c>
      <c r="B3" s="103" t="s">
        <v>236</v>
      </c>
      <c r="C3" s="103" t="s">
        <v>241</v>
      </c>
      <c r="D3" s="103" t="s">
        <v>777</v>
      </c>
      <c r="E3" s="103" t="s">
        <v>777</v>
      </c>
      <c r="F3" s="103" t="s">
        <v>777</v>
      </c>
      <c r="G3" s="103" t="s">
        <v>777</v>
      </c>
      <c r="H3" s="103" t="s">
        <v>777</v>
      </c>
      <c r="I3" s="103" t="s">
        <v>777</v>
      </c>
      <c r="J3" s="103">
        <v>0</v>
      </c>
    </row>
    <row r="4" spans="1:10" s="103" customFormat="1" ht="15">
      <c r="A4" s="103" t="s">
        <v>800</v>
      </c>
      <c r="B4" s="103" t="s">
        <v>730</v>
      </c>
      <c r="C4" s="103" t="s">
        <v>736</v>
      </c>
      <c r="D4" s="103" t="s">
        <v>777</v>
      </c>
      <c r="E4" s="103" t="s">
        <v>777</v>
      </c>
      <c r="F4" s="103" t="s">
        <v>777</v>
      </c>
      <c r="G4" s="103" t="s">
        <v>777</v>
      </c>
      <c r="H4" s="103" t="s">
        <v>777</v>
      </c>
      <c r="I4" s="103" t="s">
        <v>777</v>
      </c>
      <c r="J4" s="103">
        <v>0</v>
      </c>
    </row>
    <row r="5" s="103" customFormat="1" ht="15"/>
    <row r="6" s="103" customFormat="1" ht="15"/>
    <row r="7" s="103" customFormat="1" ht="15"/>
    <row r="8" s="103" customFormat="1" ht="15"/>
    <row r="9" s="103" customFormat="1" ht="15"/>
    <row r="10" s="103" customFormat="1" ht="15"/>
    <row r="11" s="103" customFormat="1" ht="15"/>
  </sheetData>
  <sheetProtection password="C69B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T37"/>
  <sheetViews>
    <sheetView showZeros="0" zoomScalePageLayoutView="0" workbookViewId="0" topLeftCell="A1">
      <selection activeCell="E8" sqref="E8"/>
    </sheetView>
  </sheetViews>
  <sheetFormatPr defaultColWidth="9.140625" defaultRowHeight="21.75" customHeight="1"/>
  <cols>
    <col min="2" max="2" width="16.421875" style="0" bestFit="1" customWidth="1"/>
    <col min="3" max="3" width="23.28125" style="0" customWidth="1"/>
    <col min="4" max="4" width="20.140625" style="0" customWidth="1"/>
    <col min="6" max="6" width="12.28125" style="0" customWidth="1"/>
    <col min="7" max="7" width="26.28125" style="0" bestFit="1" customWidth="1"/>
    <col min="8" max="8" width="9.140625" style="0" customWidth="1"/>
    <col min="9" max="11" width="9.140625" style="0" hidden="1" customWidth="1"/>
    <col min="12" max="12" width="5.140625" style="0" customWidth="1"/>
    <col min="13" max="13" width="9.140625" style="0" customWidth="1"/>
    <col min="14" max="14" width="10.140625" style="0" customWidth="1"/>
    <col min="19" max="20" width="0" style="0" hidden="1" customWidth="1"/>
  </cols>
  <sheetData>
    <row r="1" spans="1:15" ht="21.75" customHeight="1" thickBot="1">
      <c r="A1" s="46"/>
      <c r="B1" s="46" t="s">
        <v>764</v>
      </c>
      <c r="C1" s="46"/>
      <c r="D1" s="46" t="s">
        <v>765</v>
      </c>
      <c r="E1" s="46"/>
      <c r="M1" s="47" t="s">
        <v>166</v>
      </c>
      <c r="N1" s="47"/>
      <c r="O1" s="47"/>
    </row>
    <row r="2" spans="2:14" ht="21.75" customHeight="1" thickTop="1">
      <c r="B2" s="104" t="s">
        <v>801</v>
      </c>
      <c r="D2" s="87" t="s">
        <v>778</v>
      </c>
      <c r="M2" s="51" t="s">
        <v>31</v>
      </c>
      <c r="N2" s="48" t="s">
        <v>60</v>
      </c>
    </row>
    <row r="3" spans="1:20" ht="21.75" customHeight="1" thickBot="1">
      <c r="A3" s="114" t="s">
        <v>25</v>
      </c>
      <c r="B3" s="114"/>
      <c r="C3" s="114"/>
      <c r="D3" s="114"/>
      <c r="E3" s="114"/>
      <c r="I3" s="38" t="s">
        <v>19</v>
      </c>
      <c r="J3" s="3" t="s">
        <v>8</v>
      </c>
      <c r="K3" s="38" t="s">
        <v>0</v>
      </c>
      <c r="M3" s="51" t="s">
        <v>32</v>
      </c>
      <c r="N3" s="48" t="s">
        <v>76</v>
      </c>
      <c r="S3" s="38" t="s">
        <v>19</v>
      </c>
      <c r="T3" s="3" t="s">
        <v>746</v>
      </c>
    </row>
    <row r="4" spans="3:19" ht="22.5" thickBot="1" thickTop="1">
      <c r="C4" s="13" t="s">
        <v>783</v>
      </c>
      <c r="D4" s="13" t="s">
        <v>784</v>
      </c>
      <c r="F4" s="113" t="s">
        <v>763</v>
      </c>
      <c r="G4" s="113"/>
      <c r="H4" s="113"/>
      <c r="I4" t="str">
        <f>C6</f>
        <v>19-04-07-09</v>
      </c>
      <c r="J4" t="s">
        <v>10</v>
      </c>
      <c r="K4" s="4">
        <f>IF(ISERROR(DGET(Sob,K3,I3:J4)),"",DGET(Sob,K3,I3:J4))</f>
      </c>
      <c r="M4" s="51" t="s">
        <v>33</v>
      </c>
      <c r="N4" s="48" t="s">
        <v>165</v>
      </c>
      <c r="S4" t="str">
        <f>C6</f>
        <v>19-04-07-09</v>
      </c>
    </row>
    <row r="5" spans="2:10" ht="21.75" customHeight="1" thickTop="1">
      <c r="B5" s="13" t="s">
        <v>153</v>
      </c>
      <c r="C5" s="72">
        <f ca="1">NOW()</f>
        <v>39998.54268888889</v>
      </c>
      <c r="D5" s="90"/>
      <c r="F5" s="13" t="s">
        <v>51</v>
      </c>
      <c r="G5" s="13" t="s">
        <v>162</v>
      </c>
      <c r="H5" s="13"/>
      <c r="I5" s="38" t="s">
        <v>19</v>
      </c>
      <c r="J5" s="3" t="s">
        <v>8</v>
      </c>
    </row>
    <row r="6" spans="2:15" ht="21.75" customHeight="1" thickBot="1">
      <c r="B6" s="13" t="s">
        <v>19</v>
      </c>
      <c r="C6" s="105" t="s">
        <v>801</v>
      </c>
      <c r="F6" s="81">
        <v>39998.53792511574</v>
      </c>
      <c r="G6" s="144" t="s">
        <v>802</v>
      </c>
      <c r="H6" s="143"/>
      <c r="I6" t="str">
        <f>C6</f>
        <v>19-04-07-09</v>
      </c>
      <c r="J6" t="s">
        <v>152</v>
      </c>
      <c r="K6">
        <f>DMAX(Sob,1,I5:J6)</f>
        <v>0</v>
      </c>
      <c r="M6" s="47" t="s">
        <v>11</v>
      </c>
      <c r="N6" s="47"/>
      <c r="O6" s="47"/>
    </row>
    <row r="7" spans="2:14" ht="21.75" customHeight="1" thickTop="1">
      <c r="B7" s="13" t="s">
        <v>27</v>
      </c>
      <c r="C7" s="105" t="s">
        <v>800</v>
      </c>
      <c r="G7" s="143"/>
      <c r="H7" s="143"/>
      <c r="M7" s="51" t="s">
        <v>31</v>
      </c>
      <c r="N7" s="48" t="s">
        <v>130</v>
      </c>
    </row>
    <row r="8" spans="2:14" ht="21.75" customHeight="1">
      <c r="B8" s="13" t="s">
        <v>26</v>
      </c>
      <c r="C8" s="57" t="str">
        <f>IF(ISERROR(VLOOKUP($C$7,Auto,2,0)),"Нет данных",VLOOKUP($C$7,Auto,2,0)&amp;" "&amp;VLOOKUP($C$7,Auto,3,0))</f>
        <v>Volvo V50</v>
      </c>
      <c r="G8" s="143"/>
      <c r="H8" s="143"/>
      <c r="M8" s="51" t="s">
        <v>32</v>
      </c>
      <c r="N8" s="48" t="s">
        <v>164</v>
      </c>
    </row>
    <row r="9" spans="2:14" ht="21.75" customHeight="1">
      <c r="B9" s="13" t="s">
        <v>28</v>
      </c>
      <c r="C9" s="12">
        <f>IF(ISERROR(VLOOKUP($C$7,Auto,7,0)),"Нет данных",VLOOKUP($C$7,Auto,7,0))</f>
      </c>
      <c r="G9" s="143"/>
      <c r="H9" s="143"/>
      <c r="M9" s="51" t="s">
        <v>33</v>
      </c>
      <c r="N9" s="48" t="s">
        <v>167</v>
      </c>
    </row>
    <row r="10" spans="2:14" ht="21.75" customHeight="1">
      <c r="B10" s="13" t="s">
        <v>3</v>
      </c>
      <c r="C10" s="12">
        <f>IF(ISERROR(VLOOKUP($C$7,Auto,4,0)),"Нет данных",VLOOKUP($C$7,Auto,4,0))</f>
      </c>
      <c r="G10" s="143"/>
      <c r="H10" s="143"/>
      <c r="M10" s="51" t="s">
        <v>168</v>
      </c>
      <c r="N10" s="48" t="s">
        <v>169</v>
      </c>
    </row>
    <row r="11" spans="2:13" ht="21.75" customHeight="1">
      <c r="B11" s="13" t="s">
        <v>54</v>
      </c>
      <c r="C11" s="42"/>
      <c r="F11" s="81"/>
      <c r="G11" s="144"/>
      <c r="H11" s="143"/>
      <c r="M11" s="6"/>
    </row>
    <row r="12" spans="2:14" ht="21.75" customHeight="1">
      <c r="B12" s="13" t="s">
        <v>29</v>
      </c>
      <c r="C12" s="12">
        <f>IF(ISERROR(VLOOKUP($C$7,Auto,6,0)),"Нет данных",VLOOKUP($C$7,Auto,6,0))</f>
      </c>
      <c r="G12" s="143"/>
      <c r="H12" s="143"/>
      <c r="M12" s="51" t="s">
        <v>35</v>
      </c>
      <c r="N12" s="48" t="s">
        <v>170</v>
      </c>
    </row>
    <row r="13" spans="2:14" ht="21.75" customHeight="1">
      <c r="B13" s="14" t="s">
        <v>755</v>
      </c>
      <c r="C13" s="65" t="s">
        <v>757</v>
      </c>
      <c r="G13" s="143"/>
      <c r="H13" s="143"/>
      <c r="M13" s="51" t="s">
        <v>36</v>
      </c>
      <c r="N13" s="71" t="s">
        <v>761</v>
      </c>
    </row>
    <row r="14" spans="2:14" ht="21.75" customHeight="1">
      <c r="B14" s="14" t="s">
        <v>5</v>
      </c>
      <c r="C14" s="67">
        <f>IF(ISERROR(VLOOKUP(C7,Auto,8,0)),"Нет данных",VLOOKUP(C7,Auto,8,0))</f>
      </c>
      <c r="G14" s="143"/>
      <c r="H14" s="143"/>
      <c r="M14" s="51" t="s">
        <v>37</v>
      </c>
      <c r="N14" s="71" t="s">
        <v>748</v>
      </c>
    </row>
    <row r="15" spans="2:8" ht="21.75" customHeight="1">
      <c r="B15" s="14" t="s">
        <v>6</v>
      </c>
      <c r="C15" s="67">
        <f>IF(ISERROR(VLOOKUP(C7,Auto,9,0)),"Нет данных",VLOOKUP(C7,Auto,9,0))</f>
      </c>
      <c r="G15" s="143"/>
      <c r="H15" s="143"/>
    </row>
    <row r="16" spans="6:8" ht="15">
      <c r="F16" s="81"/>
      <c r="G16" s="144"/>
      <c r="H16" s="143"/>
    </row>
    <row r="17" spans="1:8" ht="21.75" customHeight="1" thickBot="1">
      <c r="A17" s="113" t="s">
        <v>30</v>
      </c>
      <c r="B17" s="113"/>
      <c r="C17" s="113"/>
      <c r="D17" s="113"/>
      <c r="E17" s="113"/>
      <c r="G17" s="143"/>
      <c r="H17" s="143"/>
    </row>
    <row r="18" spans="1:8" ht="21.75" customHeight="1" thickTop="1">
      <c r="A18" s="6" t="s">
        <v>31</v>
      </c>
      <c r="B18" s="106"/>
      <c r="C18" s="106"/>
      <c r="D18" s="106"/>
      <c r="G18" s="143"/>
      <c r="H18" s="143"/>
    </row>
    <row r="19" spans="1:11" ht="21.75" customHeight="1">
      <c r="A19" s="6" t="s">
        <v>32</v>
      </c>
      <c r="B19" s="106"/>
      <c r="C19" s="106"/>
      <c r="D19" s="106"/>
      <c r="G19" s="143"/>
      <c r="H19" s="143"/>
      <c r="K19" s="59"/>
    </row>
    <row r="20" spans="1:8" ht="21.75" customHeight="1">
      <c r="A20" s="6" t="s">
        <v>33</v>
      </c>
      <c r="B20" s="106"/>
      <c r="C20" s="106"/>
      <c r="D20" s="106"/>
      <c r="G20" s="143"/>
      <c r="H20" s="143"/>
    </row>
    <row r="21" spans="1:8" ht="21.75" customHeight="1">
      <c r="A21" s="6" t="s">
        <v>34</v>
      </c>
      <c r="B21" s="106"/>
      <c r="C21" s="106"/>
      <c r="D21" s="106"/>
      <c r="F21" s="81"/>
      <c r="G21" s="144"/>
      <c r="H21" s="143"/>
    </row>
    <row r="22" spans="1:8" ht="21.75" customHeight="1">
      <c r="A22" s="6" t="s">
        <v>35</v>
      </c>
      <c r="B22" s="106"/>
      <c r="C22" s="106"/>
      <c r="D22" s="106"/>
      <c r="G22" s="143"/>
      <c r="H22" s="143"/>
    </row>
    <row r="23" spans="1:8" ht="21.75" customHeight="1">
      <c r="A23" s="6" t="s">
        <v>36</v>
      </c>
      <c r="B23" s="106"/>
      <c r="C23" s="106"/>
      <c r="D23" s="106"/>
      <c r="G23" s="143"/>
      <c r="H23" s="143"/>
    </row>
    <row r="24" spans="1:8" ht="21.75" customHeight="1">
      <c r="A24" s="6" t="s">
        <v>37</v>
      </c>
      <c r="B24" s="106"/>
      <c r="C24" s="106"/>
      <c r="D24" s="106"/>
      <c r="G24" s="143"/>
      <c r="H24" s="143"/>
    </row>
    <row r="25" spans="1:8" ht="21.75" customHeight="1">
      <c r="A25" s="6" t="s">
        <v>38</v>
      </c>
      <c r="B25" s="106"/>
      <c r="C25" s="106"/>
      <c r="D25" s="106"/>
      <c r="G25" s="143"/>
      <c r="H25" s="143"/>
    </row>
    <row r="26" spans="1:8" ht="21.75" customHeight="1">
      <c r="A26" s="6" t="s">
        <v>39</v>
      </c>
      <c r="B26" s="106"/>
      <c r="C26" s="106"/>
      <c r="D26" s="106"/>
      <c r="F26" s="81"/>
      <c r="G26" s="143"/>
      <c r="H26" s="143"/>
    </row>
    <row r="27" spans="1:8" ht="21.75" customHeight="1">
      <c r="A27" s="6" t="s">
        <v>40</v>
      </c>
      <c r="B27" s="106"/>
      <c r="C27" s="106"/>
      <c r="D27" s="106"/>
      <c r="G27" s="143"/>
      <c r="H27" s="143"/>
    </row>
    <row r="28" spans="1:8" ht="21.75" customHeight="1">
      <c r="A28" s="6" t="s">
        <v>41</v>
      </c>
      <c r="B28" s="106"/>
      <c r="C28" s="106"/>
      <c r="D28" s="106"/>
      <c r="G28" s="143"/>
      <c r="H28" s="143"/>
    </row>
    <row r="29" spans="1:8" ht="21.75" customHeight="1">
      <c r="A29" s="6" t="s">
        <v>42</v>
      </c>
      <c r="B29" s="106"/>
      <c r="C29" s="106"/>
      <c r="D29" s="106"/>
      <c r="G29" s="143"/>
      <c r="H29" s="143"/>
    </row>
    <row r="30" spans="1:8" ht="21.75" customHeight="1">
      <c r="A30" s="6" t="s">
        <v>43</v>
      </c>
      <c r="B30" s="106"/>
      <c r="C30" s="106"/>
      <c r="D30" s="106"/>
      <c r="G30" s="143"/>
      <c r="H30" s="143"/>
    </row>
    <row r="31" spans="1:4" ht="21.75" customHeight="1">
      <c r="A31" s="6" t="s">
        <v>44</v>
      </c>
      <c r="B31" s="106"/>
      <c r="C31" s="106"/>
      <c r="D31" s="106"/>
    </row>
    <row r="32" spans="1:4" ht="21.75" customHeight="1">
      <c r="A32" s="6" t="s">
        <v>45</v>
      </c>
      <c r="B32" s="106"/>
      <c r="C32" s="106"/>
      <c r="D32" s="106"/>
    </row>
    <row r="33" spans="1:4" ht="21.75" customHeight="1">
      <c r="A33" s="6" t="s">
        <v>46</v>
      </c>
      <c r="B33" s="106"/>
      <c r="C33" s="106"/>
      <c r="D33" s="106"/>
    </row>
    <row r="34" spans="1:4" ht="21.75" customHeight="1">
      <c r="A34" s="6" t="s">
        <v>47</v>
      </c>
      <c r="B34" s="106"/>
      <c r="C34" s="106"/>
      <c r="D34" s="106"/>
    </row>
    <row r="35" spans="1:4" ht="21.75" customHeight="1">
      <c r="A35" s="6" t="s">
        <v>48</v>
      </c>
      <c r="B35" s="106"/>
      <c r="C35" s="106"/>
      <c r="D35" s="106"/>
    </row>
    <row r="36" spans="1:4" ht="21.75" customHeight="1">
      <c r="A36" s="6" t="s">
        <v>49</v>
      </c>
      <c r="B36" s="106"/>
      <c r="C36" s="106"/>
      <c r="D36" s="106"/>
    </row>
    <row r="37" spans="1:4" ht="21.75" customHeight="1">
      <c r="A37" s="6" t="s">
        <v>50</v>
      </c>
      <c r="B37" s="106"/>
      <c r="C37" s="106"/>
      <c r="D37" s="106"/>
    </row>
  </sheetData>
  <sheetProtection password="CE28" sheet="1"/>
  <mergeCells count="28">
    <mergeCell ref="F4:H4"/>
    <mergeCell ref="G6:H10"/>
    <mergeCell ref="G11:H15"/>
    <mergeCell ref="G16:H20"/>
    <mergeCell ref="G21:H25"/>
    <mergeCell ref="A3:E3"/>
    <mergeCell ref="A17:E17"/>
    <mergeCell ref="B18:D18"/>
    <mergeCell ref="B19:D19"/>
    <mergeCell ref="B20:D20"/>
    <mergeCell ref="B21:D21"/>
    <mergeCell ref="B22:D22"/>
    <mergeCell ref="B23:D23"/>
    <mergeCell ref="B36:D36"/>
    <mergeCell ref="B37:D37"/>
    <mergeCell ref="B26:D26"/>
    <mergeCell ref="B27:D27"/>
    <mergeCell ref="B28:D28"/>
    <mergeCell ref="B29:D29"/>
    <mergeCell ref="B32:D32"/>
    <mergeCell ref="B24:D24"/>
    <mergeCell ref="B25:D25"/>
    <mergeCell ref="B33:D33"/>
    <mergeCell ref="G26:H30"/>
    <mergeCell ref="B34:D34"/>
    <mergeCell ref="B35:D35"/>
    <mergeCell ref="B30:D30"/>
    <mergeCell ref="B31:D31"/>
  </mergeCells>
  <dataValidations count="4">
    <dataValidation type="list" allowBlank="1" showInputMessage="1" showErrorMessage="1" sqref="D2">
      <formula1>Госномер</formula1>
    </dataValidation>
    <dataValidation type="list" allowBlank="1" showInputMessage="1" showErrorMessage="1" sqref="B2">
      <formula1>Код_заказа</formula1>
    </dataValidation>
    <dataValidation type="list" allowBlank="1" showInputMessage="1" showErrorMessage="1" sqref="C13">
      <formula1>"сервис, клиент"</formula1>
    </dataValidation>
    <dataValidation type="date" operator="greaterThanOrEqual" allowBlank="1" showInputMessage="1" showErrorMessage="1" errorTitle="Внимание" error="Некорректный ввод. Не может быть введено прошлым числом.&#10;" sqref="D5:E5">
      <formula1>TODAY()</formula1>
    </dataValidation>
  </dataValidations>
  <hyperlinks>
    <hyperlink ref="N2" location="'Карта ремонта'!A1" display="Карта ремонта"/>
    <hyperlink ref="N3" location="'Заказ-наряд'!A1" display="Заказ-наряд"/>
    <hyperlink ref="N4" location="'Акт приемки-сдачи'!A1" display="Акт приемки-сдачи"/>
    <hyperlink ref="N7" location="'Ввод данных'!A1" display="Прием автомобиля"/>
    <hyperlink ref="N8" location="'Заказ запчастей'!A1" display="Заказ запчастей"/>
    <hyperlink ref="N9" location="'Заказ-наряд'!A1" display="Передача в ремонт"/>
    <hyperlink ref="N10" location="'Где автомобиль'!A1" display="Выдача клиенту"/>
    <hyperlink ref="N12" location="'Где автомобиль'!A1" display="Информация об автомобиле"/>
    <hyperlink ref="N13" location="Сегодня!A1" display="Сегодня поступили"/>
    <hyperlink ref="N14" location="'Что было'!A1" display="Что было с автомобилем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S37"/>
  <sheetViews>
    <sheetView showZeros="0" zoomScalePageLayoutView="0" workbookViewId="0" topLeftCell="A1">
      <selection activeCell="H11" sqref="H11"/>
    </sheetView>
  </sheetViews>
  <sheetFormatPr defaultColWidth="9.140625" defaultRowHeight="21.75" customHeight="1"/>
  <cols>
    <col min="1" max="1" width="10.140625" style="0" customWidth="1"/>
    <col min="2" max="2" width="10.140625" style="0" bestFit="1" customWidth="1"/>
    <col min="8" max="8" width="9.140625" style="0" customWidth="1"/>
    <col min="9" max="9" width="3.8515625" style="0" customWidth="1"/>
    <col min="10" max="10" width="26.28125" style="0" bestFit="1" customWidth="1"/>
    <col min="13" max="14" width="9.140625" style="0" customWidth="1"/>
    <col min="15" max="15" width="12.140625" style="0" bestFit="1" customWidth="1"/>
    <col min="16" max="16" width="9.140625" style="0" customWidth="1"/>
  </cols>
  <sheetData>
    <row r="1" spans="1:15" ht="21.75" customHeight="1" thickBot="1">
      <c r="A1" s="46"/>
      <c r="B1" s="46" t="s">
        <v>764</v>
      </c>
      <c r="C1" s="46"/>
      <c r="D1" s="46"/>
      <c r="E1" s="46" t="s">
        <v>765</v>
      </c>
      <c r="F1" s="46"/>
      <c r="G1" s="46"/>
      <c r="M1" s="38" t="s">
        <v>19</v>
      </c>
      <c r="N1" s="3" t="s">
        <v>8</v>
      </c>
      <c r="O1" s="38" t="s">
        <v>0</v>
      </c>
    </row>
    <row r="2" spans="2:15" ht="21.75" customHeight="1" thickTop="1">
      <c r="B2" s="124" t="s">
        <v>801</v>
      </c>
      <c r="C2" s="124"/>
      <c r="E2" s="124" t="s">
        <v>766</v>
      </c>
      <c r="F2" s="124"/>
      <c r="M2" t="str">
        <f>D6</f>
        <v>19-04-07-09</v>
      </c>
      <c r="N2" t="s">
        <v>10</v>
      </c>
      <c r="O2" s="4">
        <f>IF(ISERROR(DGET(Sob,O1,M1:N2)),"",DGET(Sob,O1,M1:N2))</f>
      </c>
    </row>
    <row r="3" spans="1:14" ht="21.75" customHeight="1" thickBot="1">
      <c r="A3" s="114" t="s">
        <v>76</v>
      </c>
      <c r="B3" s="114"/>
      <c r="C3" s="114"/>
      <c r="D3" s="114"/>
      <c r="E3" s="114"/>
      <c r="F3" s="114"/>
      <c r="G3" s="114"/>
      <c r="M3" s="38" t="s">
        <v>19</v>
      </c>
      <c r="N3" s="3" t="s">
        <v>8</v>
      </c>
    </row>
    <row r="4" spans="2:15" ht="21.75" customHeight="1" thickTop="1">
      <c r="B4" s="13" t="s">
        <v>167</v>
      </c>
      <c r="C4" s="13"/>
      <c r="D4" s="13"/>
      <c r="E4" s="13" t="s">
        <v>785</v>
      </c>
      <c r="F4" s="13"/>
      <c r="M4" t="str">
        <f>D6</f>
        <v>19-04-07-09</v>
      </c>
      <c r="N4" t="s">
        <v>12</v>
      </c>
      <c r="O4" s="2">
        <f>DMAX(Sob,1,M3:N4)</f>
        <v>0</v>
      </c>
    </row>
    <row r="5" spans="1:6" ht="21.75" customHeight="1">
      <c r="A5" s="13" t="s">
        <v>51</v>
      </c>
      <c r="B5" s="122">
        <f ca="1">NOW()</f>
        <v>39998.54268888889</v>
      </c>
      <c r="C5" s="122"/>
      <c r="E5" s="142"/>
      <c r="F5" s="142"/>
    </row>
    <row r="6" spans="2:19" ht="21.75" customHeight="1" thickBot="1">
      <c r="B6" s="13" t="s">
        <v>155</v>
      </c>
      <c r="D6" s="139" t="s">
        <v>801</v>
      </c>
      <c r="E6" s="139"/>
      <c r="F6" s="139"/>
      <c r="I6" s="113" t="s">
        <v>762</v>
      </c>
      <c r="J6" s="113"/>
      <c r="K6" s="113"/>
      <c r="Q6" s="47" t="s">
        <v>166</v>
      </c>
      <c r="R6" s="47"/>
      <c r="S6" s="47"/>
    </row>
    <row r="7" spans="2:18" ht="21.75" customHeight="1" thickTop="1">
      <c r="B7" s="13" t="s">
        <v>0</v>
      </c>
      <c r="C7" s="13"/>
      <c r="D7" s="139" t="s">
        <v>800</v>
      </c>
      <c r="E7" s="139"/>
      <c r="F7" s="139"/>
      <c r="I7" s="145">
        <f>IF(ISERROR(VLOOKUP(O4,Sob,7,0)),"",VLOOKUP(O4,Sob,7,0))</f>
      </c>
      <c r="J7" s="146"/>
      <c r="K7" s="147"/>
      <c r="Q7" s="51" t="s">
        <v>31</v>
      </c>
      <c r="R7" s="48" t="s">
        <v>60</v>
      </c>
    </row>
    <row r="8" spans="2:18" ht="21.75" customHeight="1">
      <c r="B8" s="13" t="s">
        <v>79</v>
      </c>
      <c r="C8" s="13"/>
      <c r="D8" s="123" t="str">
        <f>VLOOKUP($D$7,Auto,2,0)&amp;" "&amp;VLOOKUP($D$7,Auto,3,0)</f>
        <v>Volvo V50</v>
      </c>
      <c r="E8" s="123"/>
      <c r="F8" s="123"/>
      <c r="I8" s="148"/>
      <c r="J8" s="149"/>
      <c r="K8" s="150"/>
      <c r="Q8" s="51" t="s">
        <v>32</v>
      </c>
      <c r="R8" s="48" t="s">
        <v>164</v>
      </c>
    </row>
    <row r="9" spans="2:18" ht="21.75" customHeight="1">
      <c r="B9" s="13" t="s">
        <v>28</v>
      </c>
      <c r="C9" s="13"/>
      <c r="D9" s="123">
        <f>VLOOKUP($D$7,Auto,7,0)</f>
      </c>
      <c r="E9" s="123"/>
      <c r="F9" s="123"/>
      <c r="I9" s="148"/>
      <c r="J9" s="149"/>
      <c r="K9" s="150"/>
      <c r="Q9" s="51" t="s">
        <v>33</v>
      </c>
      <c r="R9" s="48" t="s">
        <v>165</v>
      </c>
    </row>
    <row r="10" spans="2:11" ht="21.75" customHeight="1">
      <c r="B10" s="14" t="s">
        <v>9</v>
      </c>
      <c r="D10" s="106"/>
      <c r="E10" s="106"/>
      <c r="F10" s="106"/>
      <c r="I10" s="148"/>
      <c r="J10" s="149"/>
      <c r="K10" s="150"/>
    </row>
    <row r="11" spans="2:11" ht="21.75" customHeight="1">
      <c r="B11" s="14"/>
      <c r="I11" s="148"/>
      <c r="J11" s="149"/>
      <c r="K11" s="150"/>
    </row>
    <row r="12" spans="2:19" ht="21.75" customHeight="1" thickBot="1">
      <c r="B12" s="14" t="s">
        <v>742</v>
      </c>
      <c r="D12" s="124">
        <v>1</v>
      </c>
      <c r="E12" s="124"/>
      <c r="I12" s="148"/>
      <c r="J12" s="149"/>
      <c r="K12" s="150"/>
      <c r="Q12" s="47" t="s">
        <v>11</v>
      </c>
      <c r="R12" s="47"/>
      <c r="S12" s="47"/>
    </row>
    <row r="13" spans="2:18" ht="21.75" customHeight="1" thickBot="1" thickTop="1">
      <c r="B13" s="113" t="s">
        <v>77</v>
      </c>
      <c r="C13" s="113"/>
      <c r="D13" s="113"/>
      <c r="E13" s="113"/>
      <c r="F13" s="113"/>
      <c r="I13" s="148"/>
      <c r="J13" s="149"/>
      <c r="K13" s="150"/>
      <c r="Q13" s="51" t="s">
        <v>31</v>
      </c>
      <c r="R13" s="48" t="s">
        <v>130</v>
      </c>
    </row>
    <row r="14" spans="9:18" ht="21.75" customHeight="1" thickTop="1">
      <c r="I14" s="148"/>
      <c r="J14" s="149"/>
      <c r="K14" s="150"/>
      <c r="Q14" s="51" t="s">
        <v>32</v>
      </c>
      <c r="R14" s="48" t="s">
        <v>164</v>
      </c>
    </row>
    <row r="15" spans="1:18" ht="21.75" customHeight="1">
      <c r="A15" s="6" t="s">
        <v>31</v>
      </c>
      <c r="B15" s="106"/>
      <c r="C15" s="106"/>
      <c r="D15" s="106"/>
      <c r="E15" s="106"/>
      <c r="F15" s="106"/>
      <c r="I15" s="148"/>
      <c r="J15" s="149"/>
      <c r="K15" s="150"/>
      <c r="Q15" s="51" t="s">
        <v>33</v>
      </c>
      <c r="R15" s="48" t="s">
        <v>167</v>
      </c>
    </row>
    <row r="16" spans="1:18" ht="21.75" customHeight="1">
      <c r="A16" s="6" t="s">
        <v>32</v>
      </c>
      <c r="B16" s="106"/>
      <c r="C16" s="106"/>
      <c r="D16" s="106"/>
      <c r="E16" s="106"/>
      <c r="F16" s="106"/>
      <c r="I16" s="148"/>
      <c r="J16" s="149"/>
      <c r="K16" s="150"/>
      <c r="Q16" s="51" t="s">
        <v>34</v>
      </c>
      <c r="R16" s="48" t="s">
        <v>169</v>
      </c>
    </row>
    <row r="17" spans="1:17" ht="21.75" customHeight="1">
      <c r="A17" s="6" t="s">
        <v>33</v>
      </c>
      <c r="B17" s="106"/>
      <c r="C17" s="106"/>
      <c r="D17" s="106"/>
      <c r="E17" s="106"/>
      <c r="F17" s="106"/>
      <c r="I17" s="151"/>
      <c r="J17" s="152"/>
      <c r="K17" s="153"/>
      <c r="Q17" s="6"/>
    </row>
    <row r="18" spans="1:18" ht="21.75" customHeight="1">
      <c r="A18" s="6" t="s">
        <v>34</v>
      </c>
      <c r="B18" s="106"/>
      <c r="C18" s="106"/>
      <c r="D18" s="106"/>
      <c r="E18" s="106"/>
      <c r="F18" s="106"/>
      <c r="Q18" s="51" t="s">
        <v>35</v>
      </c>
      <c r="R18" s="48" t="s">
        <v>170</v>
      </c>
    </row>
    <row r="19" spans="1:18" ht="21.75" customHeight="1">
      <c r="A19" s="6" t="s">
        <v>35</v>
      </c>
      <c r="B19" s="106"/>
      <c r="C19" s="106"/>
      <c r="D19" s="106"/>
      <c r="E19" s="106"/>
      <c r="F19" s="106"/>
      <c r="Q19" s="51" t="s">
        <v>36</v>
      </c>
      <c r="R19" s="71" t="s">
        <v>761</v>
      </c>
    </row>
    <row r="20" spans="1:18" ht="21.75" customHeight="1">
      <c r="A20" s="6" t="s">
        <v>36</v>
      </c>
      <c r="B20" s="106"/>
      <c r="C20" s="106"/>
      <c r="D20" s="106"/>
      <c r="E20" s="106"/>
      <c r="F20" s="106"/>
      <c r="Q20" s="51" t="s">
        <v>37</v>
      </c>
      <c r="R20" s="71" t="s">
        <v>748</v>
      </c>
    </row>
    <row r="21" spans="1:6" ht="21.75" customHeight="1">
      <c r="A21" s="6" t="s">
        <v>37</v>
      </c>
      <c r="B21" s="106"/>
      <c r="C21" s="106"/>
      <c r="D21" s="106"/>
      <c r="E21" s="106"/>
      <c r="F21" s="106"/>
    </row>
    <row r="22" spans="1:6" ht="21.75" customHeight="1">
      <c r="A22" s="6" t="s">
        <v>38</v>
      </c>
      <c r="B22" s="106"/>
      <c r="C22" s="106"/>
      <c r="D22" s="106"/>
      <c r="E22" s="106"/>
      <c r="F22" s="106"/>
    </row>
    <row r="23" spans="1:6" ht="21.75" customHeight="1">
      <c r="A23" s="6" t="s">
        <v>39</v>
      </c>
      <c r="B23" s="106"/>
      <c r="C23" s="106"/>
      <c r="D23" s="106"/>
      <c r="E23" s="106"/>
      <c r="F23" s="106"/>
    </row>
    <row r="24" spans="1:6" ht="21.75" customHeight="1">
      <c r="A24" s="6" t="s">
        <v>40</v>
      </c>
      <c r="B24" s="106"/>
      <c r="C24" s="106"/>
      <c r="D24" s="106"/>
      <c r="E24" s="106"/>
      <c r="F24" s="106"/>
    </row>
    <row r="25" spans="1:6" ht="21.75" customHeight="1">
      <c r="A25" s="6" t="s">
        <v>41</v>
      </c>
      <c r="B25" s="106"/>
      <c r="C25" s="106"/>
      <c r="D25" s="106"/>
      <c r="E25" s="106"/>
      <c r="F25" s="106"/>
    </row>
    <row r="26" spans="1:6" ht="21.75" customHeight="1">
      <c r="A26" s="6" t="s">
        <v>42</v>
      </c>
      <c r="B26" s="106"/>
      <c r="C26" s="106"/>
      <c r="D26" s="106"/>
      <c r="E26" s="106"/>
      <c r="F26" s="106"/>
    </row>
    <row r="27" spans="1:6" ht="21.75" customHeight="1">
      <c r="A27" s="6" t="s">
        <v>43</v>
      </c>
      <c r="B27" s="106"/>
      <c r="C27" s="106"/>
      <c r="D27" s="106"/>
      <c r="E27" s="106"/>
      <c r="F27" s="106"/>
    </row>
    <row r="28" spans="1:6" ht="21.75" customHeight="1">
      <c r="A28" s="6" t="s">
        <v>44</v>
      </c>
      <c r="B28" s="106"/>
      <c r="C28" s="106"/>
      <c r="D28" s="106"/>
      <c r="E28" s="106"/>
      <c r="F28" s="106"/>
    </row>
    <row r="29" spans="1:6" ht="21.75" customHeight="1">
      <c r="A29" s="6" t="s">
        <v>45</v>
      </c>
      <c r="B29" s="106"/>
      <c r="C29" s="106"/>
      <c r="D29" s="106"/>
      <c r="E29" s="106"/>
      <c r="F29" s="106"/>
    </row>
    <row r="30" spans="1:6" ht="21.75" customHeight="1">
      <c r="A30" s="6" t="s">
        <v>46</v>
      </c>
      <c r="B30" s="106"/>
      <c r="C30" s="106"/>
      <c r="D30" s="106"/>
      <c r="E30" s="106"/>
      <c r="F30" s="106"/>
    </row>
    <row r="31" spans="1:6" ht="21.75" customHeight="1">
      <c r="A31" s="6" t="s">
        <v>47</v>
      </c>
      <c r="B31" s="106"/>
      <c r="C31" s="106"/>
      <c r="D31" s="106"/>
      <c r="E31" s="106"/>
      <c r="F31" s="106"/>
    </row>
    <row r="32" spans="1:6" ht="21.75" customHeight="1">
      <c r="A32" s="6" t="s">
        <v>48</v>
      </c>
      <c r="B32" s="106"/>
      <c r="C32" s="106"/>
      <c r="D32" s="106"/>
      <c r="E32" s="106"/>
      <c r="F32" s="106"/>
    </row>
    <row r="33" spans="1:6" ht="21.75" customHeight="1">
      <c r="A33" s="6" t="s">
        <v>49</v>
      </c>
      <c r="B33" s="106"/>
      <c r="C33" s="106"/>
      <c r="D33" s="106"/>
      <c r="E33" s="106"/>
      <c r="F33" s="106"/>
    </row>
    <row r="34" spans="1:6" ht="21.75" customHeight="1">
      <c r="A34" s="6" t="s">
        <v>50</v>
      </c>
      <c r="B34" s="106"/>
      <c r="C34" s="106"/>
      <c r="D34" s="106"/>
      <c r="E34" s="106"/>
      <c r="F34" s="106"/>
    </row>
    <row r="36" spans="1:7" ht="21.75" customHeight="1">
      <c r="A36" s="154" t="s">
        <v>78</v>
      </c>
      <c r="B36" s="154"/>
      <c r="C36" s="154"/>
      <c r="D36" s="154"/>
      <c r="E36" s="154"/>
      <c r="F36" s="154"/>
      <c r="G36" s="154"/>
    </row>
    <row r="37" spans="1:7" ht="21.75" customHeight="1">
      <c r="A37" s="154"/>
      <c r="B37" s="154"/>
      <c r="C37" s="154"/>
      <c r="D37" s="154"/>
      <c r="E37" s="154"/>
      <c r="F37" s="154"/>
      <c r="G37" s="154"/>
    </row>
  </sheetData>
  <sheetProtection password="CE28" sheet="1"/>
  <mergeCells count="35">
    <mergeCell ref="B32:F32"/>
    <mergeCell ref="B25:F25"/>
    <mergeCell ref="B26:F26"/>
    <mergeCell ref="B33:F33"/>
    <mergeCell ref="B34:F34"/>
    <mergeCell ref="B22:F22"/>
    <mergeCell ref="B23:F23"/>
    <mergeCell ref="B24:F24"/>
    <mergeCell ref="B18:F18"/>
    <mergeCell ref="B31:F31"/>
    <mergeCell ref="B19:F19"/>
    <mergeCell ref="B20:F20"/>
    <mergeCell ref="B21:F21"/>
    <mergeCell ref="E5:F5"/>
    <mergeCell ref="B13:F13"/>
    <mergeCell ref="D10:F10"/>
    <mergeCell ref="D12:E12"/>
    <mergeCell ref="B16:F16"/>
    <mergeCell ref="B17:F17"/>
    <mergeCell ref="B5:C5"/>
    <mergeCell ref="A36:G37"/>
    <mergeCell ref="B27:F27"/>
    <mergeCell ref="B28:F28"/>
    <mergeCell ref="B29:F29"/>
    <mergeCell ref="B30:F30"/>
    <mergeCell ref="B2:C2"/>
    <mergeCell ref="E2:F2"/>
    <mergeCell ref="D6:F6"/>
    <mergeCell ref="I6:K6"/>
    <mergeCell ref="I7:K17"/>
    <mergeCell ref="D8:F8"/>
    <mergeCell ref="D7:F7"/>
    <mergeCell ref="A3:G3"/>
    <mergeCell ref="D9:F9"/>
    <mergeCell ref="B15:F15"/>
  </mergeCells>
  <dataValidations count="4">
    <dataValidation type="list" allowBlank="1" showInputMessage="1" showErrorMessage="1" sqref="B2">
      <formula1>Код_заказа</formula1>
    </dataValidation>
    <dataValidation type="list" allowBlank="1" showInputMessage="1" showErrorMessage="1" sqref="E2">
      <formula1>Госномер</formula1>
    </dataValidation>
    <dataValidation type="list" allowBlank="1" showInputMessage="1" showErrorMessage="1" sqref="D12:E12">
      <formula1>Участки</formula1>
    </dataValidation>
    <dataValidation type="date" operator="greaterThanOrEqual" allowBlank="1" showInputMessage="1" showErrorMessage="1" errorTitle="Внимание" error="Некорректный ввод. Не может быть введено прошлым числом.&#10;" sqref="E5:F5">
      <formula1>TODAY()</formula1>
    </dataValidation>
  </dataValidations>
  <hyperlinks>
    <hyperlink ref="R7" location="'Карта ремонта'!A1" display="Карта ремонта"/>
    <hyperlink ref="R8" location="'Заказ запчастей'!A1" display="Заказ запчастей"/>
    <hyperlink ref="R9" location="'Акт приемки-сдачи'!A1" display="Акт приемки-сдачи"/>
    <hyperlink ref="R13" location="'Ввод данных'!A1" display="Прием автомобиля"/>
    <hyperlink ref="R14" location="'Заказ запчастей'!A1" display="Заказ запчастей"/>
    <hyperlink ref="R15" location="'Заказ-наряд'!A1" display="Передача в ремонт"/>
    <hyperlink ref="R16" location="'Где автомобиль'!A1" display="Выдача клиенту"/>
    <hyperlink ref="R18" location="'Где автомобиль'!A1" display="Информация об автомобиле"/>
    <hyperlink ref="R19" location="Сегодня!A1" display="Сегодня поступили"/>
    <hyperlink ref="R20" location="'Что было'!A1" display="Что было с автомобилем"/>
  </hyperlinks>
  <printOptions horizontalCentered="1" vertic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S66"/>
  <sheetViews>
    <sheetView showZeros="0" zoomScalePageLayoutView="0" workbookViewId="0" topLeftCell="A1">
      <selection activeCell="I2" sqref="I2:J2"/>
    </sheetView>
  </sheetViews>
  <sheetFormatPr defaultColWidth="9.140625" defaultRowHeight="21.75" customHeight="1"/>
  <cols>
    <col min="12" max="12" width="9.8515625" style="0" customWidth="1"/>
    <col min="15" max="15" width="22.00390625" style="0" bestFit="1" customWidth="1"/>
    <col min="16" max="18" width="9.140625" style="0" hidden="1" customWidth="1"/>
    <col min="19" max="19" width="21.421875" style="0" hidden="1" customWidth="1"/>
  </cols>
  <sheetData>
    <row r="1" spans="1:12" ht="21.75" customHeight="1" thickBot="1">
      <c r="A1" s="46"/>
      <c r="B1" s="46"/>
      <c r="C1" s="46" t="s">
        <v>764</v>
      </c>
      <c r="D1" s="46"/>
      <c r="E1" s="46"/>
      <c r="F1" s="46"/>
      <c r="G1" s="46"/>
      <c r="H1" s="46"/>
      <c r="I1" s="46" t="s">
        <v>765</v>
      </c>
      <c r="J1" s="46"/>
      <c r="K1" s="46"/>
      <c r="L1" s="46"/>
    </row>
    <row r="2" spans="3:10" ht="21.75" customHeight="1" thickTop="1">
      <c r="C2" s="124" t="s">
        <v>801</v>
      </c>
      <c r="D2" s="124"/>
      <c r="I2" s="155" t="s">
        <v>756</v>
      </c>
      <c r="J2" s="156"/>
    </row>
    <row r="4" spans="1:19" ht="21.75" customHeight="1" thickBot="1">
      <c r="A4" s="114" t="s">
        <v>80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P4" s="38" t="s">
        <v>19</v>
      </c>
      <c r="Q4" s="3" t="s">
        <v>8</v>
      </c>
      <c r="R4" s="38" t="s">
        <v>0</v>
      </c>
      <c r="S4" s="3" t="s">
        <v>754</v>
      </c>
    </row>
    <row r="5" spans="1:19" ht="21" thickBot="1" thickTop="1">
      <c r="A5" s="129" t="s">
        <v>132</v>
      </c>
      <c r="B5" s="129"/>
      <c r="C5" s="139" t="s">
        <v>801</v>
      </c>
      <c r="D5" s="139"/>
      <c r="J5" s="21" t="s">
        <v>106</v>
      </c>
      <c r="K5" s="142">
        <v>39998</v>
      </c>
      <c r="L5" s="142"/>
      <c r="N5" s="47" t="s">
        <v>166</v>
      </c>
      <c r="O5" s="47"/>
      <c r="P5" t="str">
        <f>C5</f>
        <v>19-04-07-09</v>
      </c>
      <c r="Q5" t="s">
        <v>10</v>
      </c>
      <c r="R5" s="4" t="str">
        <f>J11</f>
        <v>О233РТ44</v>
      </c>
      <c r="S5" s="37">
        <f>IF(ISERROR(DGET(Sob,S4,P4:Q5)),"",DGET(Sob,S4,P4:Q5))</f>
      </c>
    </row>
    <row r="6" spans="1:15" ht="21.75" customHeight="1" thickTop="1">
      <c r="A6" s="18"/>
      <c r="N6" s="51" t="s">
        <v>31</v>
      </c>
      <c r="O6" s="48" t="s">
        <v>60</v>
      </c>
    </row>
    <row r="7" spans="1:15" ht="21.75" customHeight="1">
      <c r="A7" s="158" t="s">
        <v>107</v>
      </c>
      <c r="B7" s="158"/>
      <c r="C7" s="158"/>
      <c r="D7" s="123">
        <f>VLOOKUP(J11,Auto,6,FALSE)</f>
      </c>
      <c r="E7" s="123"/>
      <c r="F7" s="123"/>
      <c r="G7" s="123"/>
      <c r="I7" s="158" t="s">
        <v>108</v>
      </c>
      <c r="J7" s="158"/>
      <c r="K7" s="123">
        <f>S5</f>
      </c>
      <c r="L7" s="123"/>
      <c r="N7" s="51" t="s">
        <v>32</v>
      </c>
      <c r="O7" s="48" t="s">
        <v>164</v>
      </c>
    </row>
    <row r="8" spans="1:15" ht="21.75" customHeight="1">
      <c r="A8" s="18"/>
      <c r="N8" s="51" t="s">
        <v>33</v>
      </c>
      <c r="O8" s="48" t="s">
        <v>76</v>
      </c>
    </row>
    <row r="9" spans="1:14" ht="21.75" customHeight="1">
      <c r="A9" s="21" t="s">
        <v>109</v>
      </c>
      <c r="B9" s="123" t="str">
        <f>VLOOKUP(J11,Auto,2,FALSE)</f>
        <v>Volvo</v>
      </c>
      <c r="C9" s="123"/>
      <c r="D9" s="21" t="s">
        <v>110</v>
      </c>
      <c r="E9" s="123" t="str">
        <f>VLOOKUP(J11,Auto,3,FALSE)</f>
        <v>V50</v>
      </c>
      <c r="F9" s="123"/>
      <c r="G9" s="21" t="s">
        <v>111</v>
      </c>
      <c r="H9" s="123">
        <f>VLOOKUP(J11,Auto,5,FALSE)</f>
      </c>
      <c r="I9" s="123"/>
      <c r="J9" s="21" t="s">
        <v>112</v>
      </c>
      <c r="K9" s="123">
        <f>VLOOKUP(J11,Auto,4,FALSE)</f>
      </c>
      <c r="L9" s="123"/>
      <c r="N9" s="6"/>
    </row>
    <row r="10" spans="1:15" ht="21.75" customHeight="1" thickBot="1">
      <c r="A10" s="18"/>
      <c r="N10" s="47" t="s">
        <v>11</v>
      </c>
      <c r="O10" s="47"/>
    </row>
    <row r="11" spans="1:15" ht="21.75" customHeight="1" thickTop="1">
      <c r="A11" s="21" t="s">
        <v>115</v>
      </c>
      <c r="B11" s="123">
        <f>VLOOKUP(J11,Auto,7,FALSE)</f>
      </c>
      <c r="C11" s="123"/>
      <c r="D11" s="123"/>
      <c r="E11" s="123"/>
      <c r="F11" s="123"/>
      <c r="G11" s="158" t="s">
        <v>113</v>
      </c>
      <c r="H11" s="158"/>
      <c r="I11" s="158"/>
      <c r="J11" s="139" t="s">
        <v>800</v>
      </c>
      <c r="K11" s="139"/>
      <c r="L11" s="139"/>
      <c r="N11" s="51" t="s">
        <v>31</v>
      </c>
      <c r="O11" s="48" t="s">
        <v>130</v>
      </c>
    </row>
    <row r="12" spans="1:15" ht="21.75" customHeight="1">
      <c r="A12" s="18"/>
      <c r="N12" s="51" t="s">
        <v>32</v>
      </c>
      <c r="O12" s="48" t="s">
        <v>164</v>
      </c>
    </row>
    <row r="13" spans="1:15" ht="21.75" customHeight="1">
      <c r="A13" s="21" t="s">
        <v>114</v>
      </c>
      <c r="B13" s="135"/>
      <c r="C13" s="135"/>
      <c r="E13" s="158" t="s">
        <v>116</v>
      </c>
      <c r="F13" s="158"/>
      <c r="G13" s="6" t="s">
        <v>117</v>
      </c>
      <c r="H13" s="135"/>
      <c r="I13" s="135"/>
      <c r="J13" s="135"/>
      <c r="K13" t="s">
        <v>118</v>
      </c>
      <c r="N13" s="51" t="s">
        <v>33</v>
      </c>
      <c r="O13" s="48" t="s">
        <v>167</v>
      </c>
    </row>
    <row r="14" spans="1:15" ht="21.75" customHeight="1">
      <c r="A14" s="18"/>
      <c r="N14" s="51" t="s">
        <v>34</v>
      </c>
      <c r="O14" s="48" t="s">
        <v>169</v>
      </c>
    </row>
    <row r="15" spans="1:14" ht="21.75" customHeight="1">
      <c r="A15" s="158" t="s">
        <v>119</v>
      </c>
      <c r="B15" s="158"/>
      <c r="C15" s="123">
        <f>VLOOKUP(J11,Auto,8,FALSE)</f>
      </c>
      <c r="D15" s="123"/>
      <c r="E15" s="123"/>
      <c r="F15" s="123"/>
      <c r="G15" s="123"/>
      <c r="H15" s="13" t="s">
        <v>120</v>
      </c>
      <c r="I15" s="123">
        <f>VLOOKUP(J11,Auto,9,FALSE)</f>
      </c>
      <c r="J15" s="123"/>
      <c r="K15" s="123"/>
      <c r="N15" s="6"/>
    </row>
    <row r="16" spans="1:15" ht="21.75" customHeight="1">
      <c r="A16" s="18"/>
      <c r="N16" s="51" t="s">
        <v>35</v>
      </c>
      <c r="O16" s="48" t="s">
        <v>170</v>
      </c>
    </row>
    <row r="17" spans="1:15" ht="21.75" customHeight="1">
      <c r="A17" s="21" t="s">
        <v>121</v>
      </c>
      <c r="B17" s="123">
        <f>VLOOKUP(J11,Auto,10,FALSE)</f>
        <v>0</v>
      </c>
      <c r="C17" s="123"/>
      <c r="D17" s="123"/>
      <c r="E17" s="123"/>
      <c r="F17" s="123"/>
      <c r="G17" s="123"/>
      <c r="H17" s="123"/>
      <c r="I17" s="123"/>
      <c r="J17" s="123"/>
      <c r="K17" s="123"/>
      <c r="N17" s="51" t="s">
        <v>36</v>
      </c>
      <c r="O17" s="71" t="s">
        <v>761</v>
      </c>
    </row>
    <row r="18" spans="1:15" ht="21">
      <c r="A18" s="18"/>
      <c r="N18" s="51" t="s">
        <v>37</v>
      </c>
      <c r="O18" s="71" t="s">
        <v>748</v>
      </c>
    </row>
    <row r="19" spans="1:12" ht="18" thickBot="1">
      <c r="A19" s="113" t="s">
        <v>81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ht="15.75" thickTop="1"/>
    <row r="21" spans="1:12" ht="25.5">
      <c r="A21" s="22" t="s">
        <v>122</v>
      </c>
      <c r="C21" s="160" t="s">
        <v>82</v>
      </c>
      <c r="D21" s="160"/>
      <c r="E21" s="25" t="s">
        <v>123</v>
      </c>
      <c r="F21" s="23" t="s">
        <v>83</v>
      </c>
      <c r="G21" s="26" t="s">
        <v>122</v>
      </c>
      <c r="H21" s="160" t="s">
        <v>84</v>
      </c>
      <c r="I21" s="160"/>
      <c r="J21" s="26" t="s">
        <v>122</v>
      </c>
      <c r="K21" s="160" t="s">
        <v>85</v>
      </c>
      <c r="L21" s="160"/>
    </row>
    <row r="22" spans="1:12" ht="36">
      <c r="A22" s="159" t="s">
        <v>124</v>
      </c>
      <c r="B22" s="159"/>
      <c r="C22" s="160" t="s">
        <v>86</v>
      </c>
      <c r="D22" s="160"/>
      <c r="E22" s="25" t="s">
        <v>123</v>
      </c>
      <c r="F22" s="23" t="s">
        <v>87</v>
      </c>
      <c r="G22" s="26" t="s">
        <v>122</v>
      </c>
      <c r="H22" s="160" t="s">
        <v>88</v>
      </c>
      <c r="I22" s="160"/>
      <c r="J22" s="26" t="s">
        <v>122</v>
      </c>
      <c r="K22" s="160" t="s">
        <v>89</v>
      </c>
      <c r="L22" s="160"/>
    </row>
    <row r="23" spans="1:12" ht="36">
      <c r="A23" s="159" t="s">
        <v>124</v>
      </c>
      <c r="B23" s="159"/>
      <c r="C23" s="160" t="s">
        <v>90</v>
      </c>
      <c r="D23" s="160"/>
      <c r="E23" s="22" t="s">
        <v>122</v>
      </c>
      <c r="F23" s="23" t="s">
        <v>91</v>
      </c>
      <c r="G23" s="26" t="s">
        <v>122</v>
      </c>
      <c r="H23" s="160" t="s">
        <v>92</v>
      </c>
      <c r="I23" s="160"/>
      <c r="J23" s="26" t="s">
        <v>122</v>
      </c>
      <c r="K23" s="160" t="s">
        <v>93</v>
      </c>
      <c r="L23" s="160"/>
    </row>
    <row r="24" spans="1:12" ht="25.5">
      <c r="A24" s="159" t="s">
        <v>124</v>
      </c>
      <c r="B24" s="159"/>
      <c r="C24" s="160" t="s">
        <v>94</v>
      </c>
      <c r="D24" s="160"/>
      <c r="E24" s="22" t="s">
        <v>122</v>
      </c>
      <c r="F24" s="23" t="s">
        <v>95</v>
      </c>
      <c r="G24" s="26" t="s">
        <v>122</v>
      </c>
      <c r="H24" s="160" t="s">
        <v>96</v>
      </c>
      <c r="I24" s="160"/>
      <c r="J24" s="26" t="s">
        <v>122</v>
      </c>
      <c r="K24" s="160" t="s">
        <v>97</v>
      </c>
      <c r="L24" s="160"/>
    </row>
    <row r="25" spans="8:12" ht="18" thickBot="1">
      <c r="H25" s="113" t="s">
        <v>98</v>
      </c>
      <c r="I25" s="113"/>
      <c r="J25" s="113"/>
      <c r="K25" s="113"/>
      <c r="L25" s="113"/>
    </row>
    <row r="26" ht="15.75" thickTop="1">
      <c r="A26" s="17"/>
    </row>
    <row r="27" spans="2:12" ht="15">
      <c r="B27" s="19"/>
      <c r="H27">
        <v>1</v>
      </c>
      <c r="I27" s="135"/>
      <c r="J27" s="135"/>
      <c r="K27" s="135"/>
      <c r="L27" s="135"/>
    </row>
    <row r="28" spans="1:12" ht="15">
      <c r="A28" s="20"/>
      <c r="B28" s="20"/>
      <c r="H28">
        <v>2</v>
      </c>
      <c r="I28" s="135"/>
      <c r="J28" s="135"/>
      <c r="K28" s="135"/>
      <c r="L28" s="135"/>
    </row>
    <row r="29" spans="1:12" ht="15">
      <c r="A29" s="20"/>
      <c r="H29">
        <v>3</v>
      </c>
      <c r="I29" s="135"/>
      <c r="J29" s="135"/>
      <c r="K29" s="135"/>
      <c r="L29" s="135"/>
    </row>
    <row r="30" spans="1:12" ht="15">
      <c r="A30" s="20"/>
      <c r="H30">
        <v>4</v>
      </c>
      <c r="I30" s="135"/>
      <c r="J30" s="135"/>
      <c r="K30" s="135"/>
      <c r="L30" s="135"/>
    </row>
    <row r="31" spans="1:12" ht="15">
      <c r="A31" s="20"/>
      <c r="H31">
        <v>5</v>
      </c>
      <c r="I31" s="135"/>
      <c r="J31" s="135"/>
      <c r="K31" s="135"/>
      <c r="L31" s="135"/>
    </row>
    <row r="32" spans="1:12" ht="15">
      <c r="A32" s="20"/>
      <c r="H32">
        <v>6</v>
      </c>
      <c r="I32" s="135"/>
      <c r="J32" s="135"/>
      <c r="K32" s="135"/>
      <c r="L32" s="135"/>
    </row>
    <row r="33" spans="1:12" ht="15">
      <c r="A33" s="20"/>
      <c r="H33">
        <v>7</v>
      </c>
      <c r="I33" s="135"/>
      <c r="J33" s="135"/>
      <c r="K33" s="135"/>
      <c r="L33" s="135"/>
    </row>
    <row r="34" spans="1:12" ht="15">
      <c r="A34" s="20"/>
      <c r="H34">
        <v>8</v>
      </c>
      <c r="I34" s="135"/>
      <c r="J34" s="135"/>
      <c r="K34" s="135"/>
      <c r="L34" s="135"/>
    </row>
    <row r="35" spans="1:12" ht="15">
      <c r="A35" s="20"/>
      <c r="H35">
        <v>9</v>
      </c>
      <c r="I35" s="135"/>
      <c r="J35" s="135"/>
      <c r="K35" s="135"/>
      <c r="L35" s="135"/>
    </row>
    <row r="36" spans="1:12" ht="15">
      <c r="A36" s="20"/>
      <c r="H36">
        <v>10</v>
      </c>
      <c r="I36" s="135"/>
      <c r="J36" s="135"/>
      <c r="K36" s="135"/>
      <c r="L36" s="135"/>
    </row>
    <row r="37" spans="1:12" ht="15">
      <c r="A37" s="20"/>
      <c r="H37">
        <v>11</v>
      </c>
      <c r="I37" s="135"/>
      <c r="J37" s="135"/>
      <c r="K37" s="135"/>
      <c r="L37" s="135"/>
    </row>
    <row r="38" spans="1:12" ht="15">
      <c r="A38" s="20"/>
      <c r="H38">
        <v>12</v>
      </c>
      <c r="I38" s="135"/>
      <c r="J38" s="135"/>
      <c r="K38" s="135"/>
      <c r="L38" s="135"/>
    </row>
    <row r="39" ht="15">
      <c r="A39" s="18"/>
    </row>
    <row r="40" spans="1:4" ht="26.25" thickBot="1">
      <c r="A40" s="161" t="s">
        <v>99</v>
      </c>
      <c r="B40" s="161"/>
      <c r="C40" s="26" t="s">
        <v>122</v>
      </c>
      <c r="D40" s="24" t="s">
        <v>100</v>
      </c>
    </row>
    <row r="41" spans="1:12" ht="15.75" thickTop="1">
      <c r="A41" s="18"/>
      <c r="D41" s="162" t="s">
        <v>101</v>
      </c>
      <c r="E41" s="162"/>
      <c r="F41" s="162"/>
      <c r="G41" s="162"/>
      <c r="H41" s="162"/>
      <c r="I41" s="162"/>
      <c r="J41" s="162"/>
      <c r="K41" s="162"/>
      <c r="L41" s="162"/>
    </row>
    <row r="42" ht="15">
      <c r="A42" s="18"/>
    </row>
    <row r="43" spans="1:12" ht="15">
      <c r="A43" s="18"/>
      <c r="I43" s="163"/>
      <c r="J43" s="163"/>
      <c r="K43" s="163"/>
      <c r="L43" s="163"/>
    </row>
    <row r="44" spans="1:12" ht="15">
      <c r="A44" s="18"/>
      <c r="I44" s="164" t="s">
        <v>102</v>
      </c>
      <c r="J44" s="164"/>
      <c r="K44" s="164"/>
      <c r="L44" s="164"/>
    </row>
    <row r="45" spans="1:12" ht="15">
      <c r="A45" s="18"/>
      <c r="J45" s="13" t="s">
        <v>51</v>
      </c>
      <c r="K45" s="165">
        <f ca="1">TODAY()</f>
        <v>39998</v>
      </c>
      <c r="L45" s="165"/>
    </row>
    <row r="46" ht="15">
      <c r="A46" s="18"/>
    </row>
    <row r="47" spans="1:12" ht="18" thickBot="1">
      <c r="A47" s="113" t="s">
        <v>103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ht="15.75" thickTop="1"/>
    <row r="49" spans="1:12" ht="15">
      <c r="A49" s="129" t="s">
        <v>5</v>
      </c>
      <c r="B49" s="129"/>
      <c r="C49" s="129"/>
      <c r="D49" s="129"/>
      <c r="E49" s="129"/>
      <c r="H49" s="129" t="s">
        <v>125</v>
      </c>
      <c r="I49" s="129"/>
      <c r="J49" s="129"/>
      <c r="K49" s="129"/>
      <c r="L49" s="129"/>
    </row>
    <row r="50" ht="15"/>
    <row r="51" spans="1:12" ht="15">
      <c r="A51" s="163"/>
      <c r="B51" s="163"/>
      <c r="C51" s="166" t="s">
        <v>127</v>
      </c>
      <c r="D51" s="166"/>
      <c r="E51" t="s">
        <v>127</v>
      </c>
      <c r="H51" s="163"/>
      <c r="I51" s="163"/>
      <c r="J51" s="166" t="s">
        <v>127</v>
      </c>
      <c r="K51" s="166"/>
      <c r="L51" t="s">
        <v>127</v>
      </c>
    </row>
    <row r="52" spans="1:11" ht="15">
      <c r="A52" s="136" t="s">
        <v>102</v>
      </c>
      <c r="B52" s="136"/>
      <c r="C52" s="136" t="s">
        <v>126</v>
      </c>
      <c r="D52" s="136"/>
      <c r="H52" s="136" t="s">
        <v>102</v>
      </c>
      <c r="I52" s="136"/>
      <c r="J52" s="136" t="s">
        <v>126</v>
      </c>
      <c r="K52" s="136"/>
    </row>
    <row r="53" ht="15"/>
    <row r="54" spans="1:12" ht="15.75" thickBo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ht="15.75" thickTop="1"/>
    <row r="56" spans="1:12" ht="18" thickBot="1">
      <c r="A56" s="157" t="s">
        <v>128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ht="15.75" thickTop="1">
      <c r="A57" s="16" t="s">
        <v>104</v>
      </c>
    </row>
    <row r="58" ht="15">
      <c r="A58" s="16" t="s">
        <v>105</v>
      </c>
    </row>
    <row r="59" spans="10:12" ht="15">
      <c r="J59" s="13" t="s">
        <v>51</v>
      </c>
      <c r="K59" s="135"/>
      <c r="L59" s="135"/>
    </row>
    <row r="60" ht="15">
      <c r="A60" s="18"/>
    </row>
    <row r="61" spans="1:12" ht="18" thickBot="1">
      <c r="A61" s="113" t="s">
        <v>103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ht="15.75" thickTop="1"/>
    <row r="63" spans="1:12" ht="15">
      <c r="A63" s="129" t="s">
        <v>5</v>
      </c>
      <c r="B63" s="129"/>
      <c r="C63" s="129"/>
      <c r="D63" s="129"/>
      <c r="E63" s="129"/>
      <c r="H63" s="129" t="s">
        <v>125</v>
      </c>
      <c r="I63" s="129"/>
      <c r="J63" s="129"/>
      <c r="K63" s="129"/>
      <c r="L63" s="129"/>
    </row>
    <row r="64" ht="15"/>
    <row r="65" spans="1:12" ht="15">
      <c r="A65" s="163"/>
      <c r="B65" s="163"/>
      <c r="C65" s="166" t="s">
        <v>127</v>
      </c>
      <c r="D65" s="166"/>
      <c r="E65" t="s">
        <v>127</v>
      </c>
      <c r="H65" s="163"/>
      <c r="I65" s="163"/>
      <c r="J65" s="166" t="s">
        <v>127</v>
      </c>
      <c r="K65" s="166"/>
      <c r="L65" t="s">
        <v>127</v>
      </c>
    </row>
    <row r="66" spans="1:11" ht="15">
      <c r="A66" s="136" t="s">
        <v>102</v>
      </c>
      <c r="B66" s="136"/>
      <c r="C66" s="136" t="s">
        <v>126</v>
      </c>
      <c r="D66" s="136"/>
      <c r="H66" s="136" t="s">
        <v>102</v>
      </c>
      <c r="I66" s="136"/>
      <c r="J66" s="136" t="s">
        <v>126</v>
      </c>
      <c r="K66" s="136"/>
    </row>
  </sheetData>
  <sheetProtection password="CE28" sheet="1"/>
  <mergeCells count="82">
    <mergeCell ref="A65:B65"/>
    <mergeCell ref="C65:D65"/>
    <mergeCell ref="H65:I65"/>
    <mergeCell ref="J65:K65"/>
    <mergeCell ref="A66:B66"/>
    <mergeCell ref="C66:D66"/>
    <mergeCell ref="H66:I66"/>
    <mergeCell ref="J66:K66"/>
    <mergeCell ref="A52:B52"/>
    <mergeCell ref="C52:D52"/>
    <mergeCell ref="H51:I51"/>
    <mergeCell ref="J51:K51"/>
    <mergeCell ref="H52:I52"/>
    <mergeCell ref="J52:K52"/>
    <mergeCell ref="A51:B51"/>
    <mergeCell ref="C51:D51"/>
    <mergeCell ref="I38:L38"/>
    <mergeCell ref="A40:B40"/>
    <mergeCell ref="D41:L41"/>
    <mergeCell ref="I43:L43"/>
    <mergeCell ref="I44:L44"/>
    <mergeCell ref="K45:L45"/>
    <mergeCell ref="I32:L32"/>
    <mergeCell ref="I33:L33"/>
    <mergeCell ref="I34:L34"/>
    <mergeCell ref="I35:L35"/>
    <mergeCell ref="I36:L36"/>
    <mergeCell ref="I37:L37"/>
    <mergeCell ref="H23:I23"/>
    <mergeCell ref="H24:I24"/>
    <mergeCell ref="I30:L30"/>
    <mergeCell ref="I31:L31"/>
    <mergeCell ref="K23:L23"/>
    <mergeCell ref="K24:L24"/>
    <mergeCell ref="H25:L25"/>
    <mergeCell ref="I27:L27"/>
    <mergeCell ref="I28:L28"/>
    <mergeCell ref="I29:L29"/>
    <mergeCell ref="A23:B23"/>
    <mergeCell ref="A24:B24"/>
    <mergeCell ref="C21:D21"/>
    <mergeCell ref="C22:D22"/>
    <mergeCell ref="C23:D23"/>
    <mergeCell ref="C24:D24"/>
    <mergeCell ref="C15:G15"/>
    <mergeCell ref="A15:B15"/>
    <mergeCell ref="I15:K15"/>
    <mergeCell ref="B17:K17"/>
    <mergeCell ref="A19:L19"/>
    <mergeCell ref="A22:B22"/>
    <mergeCell ref="K21:L21"/>
    <mergeCell ref="K22:L22"/>
    <mergeCell ref="H21:I21"/>
    <mergeCell ref="H22:I22"/>
    <mergeCell ref="K9:L9"/>
    <mergeCell ref="B11:F11"/>
    <mergeCell ref="J11:L11"/>
    <mergeCell ref="G11:I11"/>
    <mergeCell ref="B13:C13"/>
    <mergeCell ref="H13:J13"/>
    <mergeCell ref="E13:F13"/>
    <mergeCell ref="B9:C9"/>
    <mergeCell ref="E9:F9"/>
    <mergeCell ref="H9:I9"/>
    <mergeCell ref="A4:L4"/>
    <mergeCell ref="K5:L5"/>
    <mergeCell ref="K7:L7"/>
    <mergeCell ref="D7:G7"/>
    <mergeCell ref="I7:J7"/>
    <mergeCell ref="A7:C7"/>
    <mergeCell ref="A5:B5"/>
    <mergeCell ref="C5:D5"/>
    <mergeCell ref="C2:D2"/>
    <mergeCell ref="I2:J2"/>
    <mergeCell ref="A63:E63"/>
    <mergeCell ref="H63:L63"/>
    <mergeCell ref="A47:L47"/>
    <mergeCell ref="A49:E49"/>
    <mergeCell ref="H49:L49"/>
    <mergeCell ref="A56:L56"/>
    <mergeCell ref="K59:L59"/>
    <mergeCell ref="A61:L61"/>
  </mergeCells>
  <dataValidations count="2">
    <dataValidation type="list" allowBlank="1" showInputMessage="1" showErrorMessage="1" sqref="I2:I3">
      <formula1>Госномер</formula1>
    </dataValidation>
    <dataValidation type="list" allowBlank="1" showInputMessage="1" showErrorMessage="1" sqref="C2:C3">
      <formula1>Код_заказа</formula1>
    </dataValidation>
  </dataValidations>
  <hyperlinks>
    <hyperlink ref="O6" location="'Карта ремонта'!A1" display="Карта ремонта"/>
    <hyperlink ref="O7" location="'Заказ запчастей'!A1" display="Заказ запчастей"/>
    <hyperlink ref="O8" location="'Заказ-наряд'!A1" display="Акт приемки-сдачи"/>
    <hyperlink ref="O11" location="'Ввод данных'!A1" display="Прием автомобиля"/>
    <hyperlink ref="O12" location="'Заказ запчастей'!A1" display="Заказ запчастей"/>
    <hyperlink ref="O13" location="'Заказ-наряд'!A1" display="Передача в ремонт"/>
    <hyperlink ref="O14" location="'Где автомобиль'!A1" display="Выдача клиенту"/>
    <hyperlink ref="O16" location="'Где автомобиль'!A1" display="Информация об автомобиле"/>
    <hyperlink ref="O17" location="Сегодня!A1" display="Сегодня поступили"/>
    <hyperlink ref="O18" location="'Что было'!A1" display="Что было с автомобилем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FFC000"/>
  </sheetPr>
  <dimension ref="A1:W47"/>
  <sheetViews>
    <sheetView zoomScalePageLayoutView="0" workbookViewId="0" topLeftCell="K25">
      <selection activeCell="L48" sqref="L48"/>
    </sheetView>
  </sheetViews>
  <sheetFormatPr defaultColWidth="9.140625" defaultRowHeight="15"/>
  <cols>
    <col min="1" max="10" width="0" style="0" hidden="1" customWidth="1"/>
  </cols>
  <sheetData>
    <row r="1" spans="1:23" ht="15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  <c r="L1" s="154" t="s">
        <v>172</v>
      </c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15">
      <c r="A2" s="154"/>
      <c r="B2" s="154"/>
      <c r="C2" s="154"/>
      <c r="D2" s="154"/>
      <c r="E2" s="154"/>
      <c r="F2" s="154"/>
      <c r="G2" s="154"/>
      <c r="H2" s="154"/>
      <c r="I2" s="154"/>
      <c r="J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5">
      <c r="A3" s="154"/>
      <c r="B3" s="154"/>
      <c r="C3" s="154"/>
      <c r="D3" s="154"/>
      <c r="E3" s="154"/>
      <c r="F3" s="154"/>
      <c r="G3" s="154"/>
      <c r="H3" s="154"/>
      <c r="I3" s="154"/>
      <c r="J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15">
      <c r="A4" s="154"/>
      <c r="B4" s="154"/>
      <c r="C4" s="154"/>
      <c r="D4" s="154"/>
      <c r="E4" s="154"/>
      <c r="F4" s="154"/>
      <c r="G4" s="154"/>
      <c r="H4" s="154"/>
      <c r="I4" s="154"/>
      <c r="J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15">
      <c r="A5" s="154"/>
      <c r="B5" s="154"/>
      <c r="C5" s="154"/>
      <c r="D5" s="154"/>
      <c r="E5" s="154"/>
      <c r="F5" s="154"/>
      <c r="G5" s="154"/>
      <c r="H5" s="154"/>
      <c r="I5" s="154"/>
      <c r="J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</row>
    <row r="6" spans="1:23" ht="15">
      <c r="A6" s="154"/>
      <c r="B6" s="154"/>
      <c r="C6" s="154"/>
      <c r="D6" s="154"/>
      <c r="E6" s="154"/>
      <c r="F6" s="154"/>
      <c r="G6" s="154"/>
      <c r="H6" s="154"/>
      <c r="I6" s="154"/>
      <c r="J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</row>
    <row r="7" spans="1:23" ht="15">
      <c r="A7" s="154"/>
      <c r="B7" s="154"/>
      <c r="C7" s="154"/>
      <c r="D7" s="154"/>
      <c r="E7" s="154"/>
      <c r="F7" s="154"/>
      <c r="G7" s="154"/>
      <c r="H7" s="154"/>
      <c r="I7" s="154"/>
      <c r="J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23" ht="15">
      <c r="A8" s="154" t="s">
        <v>149</v>
      </c>
      <c r="B8" s="154"/>
      <c r="C8" s="154"/>
      <c r="D8" s="154"/>
      <c r="E8" s="154"/>
      <c r="F8" s="154"/>
      <c r="G8" s="154"/>
      <c r="H8" s="154"/>
      <c r="I8" s="154"/>
      <c r="J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</row>
    <row r="9" spans="1:23" ht="15">
      <c r="A9" s="154"/>
      <c r="B9" s="154"/>
      <c r="C9" s="154"/>
      <c r="D9" s="154"/>
      <c r="E9" s="154"/>
      <c r="F9" s="154"/>
      <c r="G9" s="154"/>
      <c r="H9" s="154"/>
      <c r="I9" s="154"/>
      <c r="J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23" ht="1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</row>
    <row r="11" spans="1:23" ht="1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</row>
    <row r="12" spans="1:23" ht="1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</row>
    <row r="13" spans="1:23" ht="1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</row>
    <row r="14" spans="1:23" ht="1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</row>
    <row r="15" spans="1:23" ht="15">
      <c r="A15" s="154" t="s">
        <v>150</v>
      </c>
      <c r="B15" s="154"/>
      <c r="C15" s="154"/>
      <c r="D15" s="154"/>
      <c r="E15" s="154"/>
      <c r="F15" s="154"/>
      <c r="G15" s="154"/>
      <c r="H15" s="154"/>
      <c r="I15" s="154"/>
      <c r="J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ht="1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23" ht="1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ht="1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ht="1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ht="1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ht="15">
      <c r="A22" s="154" t="s">
        <v>151</v>
      </c>
      <c r="B22" s="154"/>
      <c r="C22" s="154"/>
      <c r="D22" s="154"/>
      <c r="E22" s="154"/>
      <c r="F22" s="154"/>
      <c r="G22" s="154"/>
      <c r="H22" s="154"/>
      <c r="I22" s="154"/>
      <c r="J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ht="1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</row>
    <row r="24" spans="1:23" ht="1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</row>
    <row r="25" spans="1:23" ht="1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</row>
    <row r="26" spans="1:23" ht="1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ht="1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L27" s="167" t="s">
        <v>790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ht="1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2:23" ht="15"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2:23" ht="15"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2:23" ht="1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2:23" ht="1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2:23" ht="1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2:23" ht="1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2:23" ht="1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2:23" ht="1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2:23" ht="1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2:23" ht="1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2:23" ht="1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</row>
    <row r="40" spans="12:23" ht="1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</row>
    <row r="41" spans="12:23" ht="1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12:23" ht="15" customHeight="1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2:23" ht="1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</row>
    <row r="44" spans="12:23" ht="1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12:23" ht="1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2:23" ht="1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2:23" ht="33" customHeight="1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</sheetData>
  <sheetProtection/>
  <mergeCells count="6">
    <mergeCell ref="A1:J7"/>
    <mergeCell ref="A8:J14"/>
    <mergeCell ref="A15:J21"/>
    <mergeCell ref="A22:J28"/>
    <mergeCell ref="L1:W26"/>
    <mergeCell ref="L27:W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>
    <tabColor rgb="FFFFC000"/>
  </sheetPr>
  <dimension ref="A1:DD62"/>
  <sheetViews>
    <sheetView zoomScalePageLayoutView="0" workbookViewId="0" topLeftCell="A1">
      <selection activeCell="H17" sqref="H17"/>
    </sheetView>
  </sheetViews>
  <sheetFormatPr defaultColWidth="9.140625" defaultRowHeight="15"/>
  <cols>
    <col min="5" max="5" width="15.421875" style="35" bestFit="1" customWidth="1"/>
    <col min="7" max="7" width="13.421875" style="36" bestFit="1" customWidth="1"/>
  </cols>
  <sheetData>
    <row r="1" spans="1:7" ht="15">
      <c r="A1" s="3" t="s">
        <v>11</v>
      </c>
      <c r="C1" s="3" t="s">
        <v>14</v>
      </c>
      <c r="E1" s="3" t="s">
        <v>131</v>
      </c>
      <c r="G1" s="3" t="s">
        <v>1</v>
      </c>
    </row>
    <row r="2" spans="1:108" ht="15">
      <c r="A2" t="s">
        <v>10</v>
      </c>
      <c r="C2" t="s">
        <v>15</v>
      </c>
      <c r="E2" s="34" t="s">
        <v>174</v>
      </c>
      <c r="G2" s="36" t="s">
        <v>187</v>
      </c>
      <c r="H2" s="32" t="s">
        <v>188</v>
      </c>
      <c r="I2" s="32" t="s">
        <v>189</v>
      </c>
      <c r="J2" s="32" t="s">
        <v>190</v>
      </c>
      <c r="K2" s="32" t="s">
        <v>191</v>
      </c>
      <c r="L2" s="32" t="s">
        <v>192</v>
      </c>
      <c r="M2" s="32" t="s">
        <v>193</v>
      </c>
      <c r="N2" s="32" t="s">
        <v>194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3"/>
      <c r="DD2" s="1"/>
    </row>
    <row r="3" spans="1:108" ht="15">
      <c r="A3" t="s">
        <v>12</v>
      </c>
      <c r="C3" t="s">
        <v>16</v>
      </c>
      <c r="E3" s="35" t="s">
        <v>176</v>
      </c>
      <c r="G3" s="36" t="s">
        <v>195</v>
      </c>
      <c r="H3" s="32">
        <v>156</v>
      </c>
      <c r="I3" s="32">
        <v>159</v>
      </c>
      <c r="J3" s="32">
        <v>164</v>
      </c>
      <c r="K3" s="32">
        <v>166</v>
      </c>
      <c r="L3" s="32">
        <v>33</v>
      </c>
      <c r="M3" s="32">
        <v>75</v>
      </c>
      <c r="N3" s="32" t="s">
        <v>196</v>
      </c>
      <c r="O3" s="32" t="s">
        <v>197</v>
      </c>
      <c r="P3" s="32" t="s">
        <v>198</v>
      </c>
      <c r="Q3" s="32" t="s">
        <v>199</v>
      </c>
      <c r="R3" s="32" t="s">
        <v>200</v>
      </c>
      <c r="S3" s="32" t="s">
        <v>201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3"/>
      <c r="DD3" s="1"/>
    </row>
    <row r="4" spans="1:108" ht="15">
      <c r="A4" t="s">
        <v>13</v>
      </c>
      <c r="E4" s="35" t="s">
        <v>177</v>
      </c>
      <c r="G4" s="36" t="s">
        <v>202</v>
      </c>
      <c r="H4" s="32" t="s">
        <v>203</v>
      </c>
      <c r="I4" s="32" t="s">
        <v>204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3"/>
      <c r="DD4" s="1"/>
    </row>
    <row r="5" spans="1:108" ht="15">
      <c r="A5" t="s">
        <v>17</v>
      </c>
      <c r="E5" s="35" t="s">
        <v>178</v>
      </c>
      <c r="G5" s="36" t="s">
        <v>205</v>
      </c>
      <c r="H5" s="32" t="s">
        <v>206</v>
      </c>
      <c r="I5" s="32" t="s">
        <v>207</v>
      </c>
      <c r="J5" s="32" t="s">
        <v>208</v>
      </c>
      <c r="K5" s="32" t="s">
        <v>209</v>
      </c>
      <c r="L5" s="32" t="s">
        <v>210</v>
      </c>
      <c r="M5" s="32" t="s">
        <v>211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3"/>
      <c r="DD5" s="1"/>
    </row>
    <row r="6" spans="5:108" ht="15">
      <c r="E6" s="35" t="s">
        <v>179</v>
      </c>
      <c r="G6" s="36" t="s">
        <v>212</v>
      </c>
      <c r="H6" s="32" t="s">
        <v>213</v>
      </c>
      <c r="I6" s="32" t="s">
        <v>214</v>
      </c>
      <c r="J6" s="32" t="s">
        <v>215</v>
      </c>
      <c r="K6" s="32" t="s">
        <v>216</v>
      </c>
      <c r="L6" s="32" t="s">
        <v>217</v>
      </c>
      <c r="M6" s="32" t="s">
        <v>218</v>
      </c>
      <c r="N6" s="32" t="s">
        <v>219</v>
      </c>
      <c r="O6" s="32" t="s">
        <v>220</v>
      </c>
      <c r="P6" s="32" t="s">
        <v>221</v>
      </c>
      <c r="Q6" s="32" t="s">
        <v>222</v>
      </c>
      <c r="R6" s="32" t="s">
        <v>223</v>
      </c>
      <c r="S6" s="32" t="s">
        <v>224</v>
      </c>
      <c r="T6" s="32" t="s">
        <v>225</v>
      </c>
      <c r="U6" s="32" t="s">
        <v>226</v>
      </c>
      <c r="V6" s="32" t="s">
        <v>227</v>
      </c>
      <c r="W6" s="32" t="s">
        <v>228</v>
      </c>
      <c r="X6" s="32" t="s">
        <v>229</v>
      </c>
      <c r="Y6" s="32" t="s">
        <v>230</v>
      </c>
      <c r="Z6" s="32" t="s">
        <v>231</v>
      </c>
      <c r="AA6" s="32" t="s">
        <v>232</v>
      </c>
      <c r="AB6" s="32" t="s">
        <v>233</v>
      </c>
      <c r="AC6" s="32" t="s">
        <v>234</v>
      </c>
      <c r="AD6" s="32" t="s">
        <v>235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3"/>
      <c r="DD6" s="1"/>
    </row>
    <row r="7" spans="5:108" ht="15">
      <c r="E7" s="35" t="s">
        <v>180</v>
      </c>
      <c r="G7" s="36" t="s">
        <v>236</v>
      </c>
      <c r="H7" s="32" t="s">
        <v>237</v>
      </c>
      <c r="I7" s="32" t="s">
        <v>238</v>
      </c>
      <c r="J7" s="32" t="s">
        <v>239</v>
      </c>
      <c r="K7" s="32" t="s">
        <v>240</v>
      </c>
      <c r="L7" s="32" t="s">
        <v>241</v>
      </c>
      <c r="M7" s="32" t="s">
        <v>242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3"/>
      <c r="DD7" s="1"/>
    </row>
    <row r="8" spans="5:108" ht="15">
      <c r="E8" s="35" t="s">
        <v>181</v>
      </c>
      <c r="G8" s="36" t="s">
        <v>243</v>
      </c>
      <c r="H8" s="32" t="s">
        <v>244</v>
      </c>
      <c r="I8" s="32" t="s">
        <v>245</v>
      </c>
      <c r="J8" s="32" t="s">
        <v>246</v>
      </c>
      <c r="K8" s="32" t="s">
        <v>247</v>
      </c>
      <c r="L8" s="32" t="s">
        <v>248</v>
      </c>
      <c r="M8" s="32" t="s">
        <v>249</v>
      </c>
      <c r="N8" s="32" t="s">
        <v>250</v>
      </c>
      <c r="O8" s="32" t="s">
        <v>251</v>
      </c>
      <c r="P8" s="32" t="s">
        <v>252</v>
      </c>
      <c r="Q8" s="32" t="s">
        <v>253</v>
      </c>
      <c r="R8" s="32" t="s">
        <v>254</v>
      </c>
      <c r="S8" s="32" t="s">
        <v>255</v>
      </c>
      <c r="T8" s="32" t="s">
        <v>256</v>
      </c>
      <c r="U8" s="32" t="s">
        <v>257</v>
      </c>
      <c r="V8" s="32" t="s">
        <v>258</v>
      </c>
      <c r="W8" s="32" t="s">
        <v>259</v>
      </c>
      <c r="X8" s="32" t="s">
        <v>260</v>
      </c>
      <c r="Y8" s="32" t="s">
        <v>261</v>
      </c>
      <c r="Z8" s="32" t="s">
        <v>262</v>
      </c>
      <c r="AA8" s="32" t="s">
        <v>263</v>
      </c>
      <c r="AB8" s="32" t="s">
        <v>264</v>
      </c>
      <c r="AC8" s="32" t="s">
        <v>265</v>
      </c>
      <c r="AD8" s="32" t="s">
        <v>266</v>
      </c>
      <c r="AE8" s="32" t="s">
        <v>267</v>
      </c>
      <c r="AF8" s="32" t="s">
        <v>268</v>
      </c>
      <c r="AG8" s="32" t="s">
        <v>269</v>
      </c>
      <c r="AH8" s="32" t="s">
        <v>270</v>
      </c>
      <c r="AI8" s="32" t="s">
        <v>271</v>
      </c>
      <c r="AJ8" s="32" t="s">
        <v>272</v>
      </c>
      <c r="AK8" s="32" t="s">
        <v>273</v>
      </c>
      <c r="AL8" s="32" t="s">
        <v>274</v>
      </c>
      <c r="AM8" s="32" t="s">
        <v>275</v>
      </c>
      <c r="AN8" s="32" t="s">
        <v>276</v>
      </c>
      <c r="AO8" s="32" t="s">
        <v>277</v>
      </c>
      <c r="AP8" s="32" t="s">
        <v>278</v>
      </c>
      <c r="AQ8" s="32" t="s">
        <v>279</v>
      </c>
      <c r="AR8" s="32" t="s">
        <v>280</v>
      </c>
      <c r="AS8" s="32" t="s">
        <v>281</v>
      </c>
      <c r="AT8" s="32" t="s">
        <v>282</v>
      </c>
      <c r="AU8" s="32" t="s">
        <v>283</v>
      </c>
      <c r="AV8" s="32" t="s">
        <v>284</v>
      </c>
      <c r="AW8" s="32" t="s">
        <v>285</v>
      </c>
      <c r="AX8" s="32" t="s">
        <v>286</v>
      </c>
      <c r="AY8" s="32" t="s">
        <v>287</v>
      </c>
      <c r="AZ8" s="32" t="s">
        <v>288</v>
      </c>
      <c r="BA8" s="32" t="s">
        <v>289</v>
      </c>
      <c r="BB8" s="32" t="s">
        <v>290</v>
      </c>
      <c r="BC8" s="32" t="s">
        <v>291</v>
      </c>
      <c r="BD8" s="32" t="s">
        <v>292</v>
      </c>
      <c r="BE8" s="32" t="s">
        <v>293</v>
      </c>
      <c r="BF8" s="32" t="s">
        <v>294</v>
      </c>
      <c r="BG8" s="32" t="s">
        <v>295</v>
      </c>
      <c r="BH8" s="32" t="s">
        <v>296</v>
      </c>
      <c r="BI8" s="32" t="s">
        <v>297</v>
      </c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3"/>
      <c r="DD8" s="1"/>
    </row>
    <row r="9" spans="5:108" ht="15">
      <c r="E9" s="35" t="s">
        <v>182</v>
      </c>
      <c r="G9" s="36" t="s">
        <v>298</v>
      </c>
      <c r="H9" s="32" t="s">
        <v>299</v>
      </c>
      <c r="I9" s="32" t="s">
        <v>300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3"/>
      <c r="DD9" s="1"/>
    </row>
    <row r="10" spans="5:108" ht="15">
      <c r="E10" s="35" t="s">
        <v>183</v>
      </c>
      <c r="G10" s="36" t="s">
        <v>301</v>
      </c>
      <c r="H10" s="32" t="s">
        <v>302</v>
      </c>
      <c r="I10" s="32" t="s">
        <v>303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3"/>
      <c r="DD10" s="1"/>
    </row>
    <row r="11" spans="5:108" ht="15">
      <c r="E11" s="35" t="s">
        <v>184</v>
      </c>
      <c r="G11" s="36" t="s">
        <v>304</v>
      </c>
      <c r="H11" s="32" t="s">
        <v>305</v>
      </c>
      <c r="I11" s="32" t="s">
        <v>306</v>
      </c>
      <c r="J11" s="32" t="s">
        <v>307</v>
      </c>
      <c r="K11" s="32" t="s">
        <v>308</v>
      </c>
      <c r="L11" s="32" t="s">
        <v>309</v>
      </c>
      <c r="M11" s="32" t="s">
        <v>310</v>
      </c>
      <c r="N11" s="32" t="s">
        <v>311</v>
      </c>
      <c r="O11" s="32" t="s">
        <v>312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3"/>
      <c r="DD11" s="1"/>
    </row>
    <row r="12" spans="1:108" ht="15">
      <c r="A12" s="3" t="s">
        <v>55</v>
      </c>
      <c r="E12" s="35" t="s">
        <v>185</v>
      </c>
      <c r="G12" s="36" t="s">
        <v>313</v>
      </c>
      <c r="H12" s="32" t="s">
        <v>314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3"/>
      <c r="DD12" s="1"/>
    </row>
    <row r="13" spans="1:108" ht="15">
      <c r="A13" s="8"/>
      <c r="B13" t="s">
        <v>56</v>
      </c>
      <c r="E13" s="35" t="s">
        <v>186</v>
      </c>
      <c r="G13" s="36" t="s">
        <v>315</v>
      </c>
      <c r="H13" s="32" t="s">
        <v>316</v>
      </c>
      <c r="I13" s="32" t="s">
        <v>317</v>
      </c>
      <c r="J13" s="32" t="s">
        <v>318</v>
      </c>
      <c r="K13" s="32" t="s">
        <v>319</v>
      </c>
      <c r="L13" s="32" t="s">
        <v>320</v>
      </c>
      <c r="M13" s="32" t="s">
        <v>321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3"/>
      <c r="DD13" s="1"/>
    </row>
    <row r="14" spans="1:108" ht="15">
      <c r="A14" s="9"/>
      <c r="B14" t="s">
        <v>57</v>
      </c>
      <c r="G14" s="36" t="s">
        <v>322</v>
      </c>
      <c r="H14" s="32" t="s">
        <v>323</v>
      </c>
      <c r="I14" s="32" t="s">
        <v>324</v>
      </c>
      <c r="J14" s="32" t="s">
        <v>325</v>
      </c>
      <c r="K14" s="32" t="s">
        <v>326</v>
      </c>
      <c r="L14" s="32" t="s">
        <v>327</v>
      </c>
      <c r="M14" s="32" t="s">
        <v>328</v>
      </c>
      <c r="N14" s="32" t="s">
        <v>329</v>
      </c>
      <c r="O14" s="32" t="s">
        <v>330</v>
      </c>
      <c r="P14" s="32" t="s">
        <v>331</v>
      </c>
      <c r="Q14" s="32" t="s">
        <v>332</v>
      </c>
      <c r="R14" s="32" t="s">
        <v>333</v>
      </c>
      <c r="S14" s="32" t="s">
        <v>334</v>
      </c>
      <c r="T14" s="32" t="s">
        <v>335</v>
      </c>
      <c r="U14" s="32" t="s">
        <v>336</v>
      </c>
      <c r="V14" s="32" t="s">
        <v>337</v>
      </c>
      <c r="W14" s="32" t="s">
        <v>338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  <c r="DD14" s="1"/>
    </row>
    <row r="15" spans="1:108" ht="15">
      <c r="A15" s="10"/>
      <c r="B15" t="s">
        <v>58</v>
      </c>
      <c r="G15" s="36" t="s">
        <v>339</v>
      </c>
      <c r="H15" s="1" t="s">
        <v>340</v>
      </c>
      <c r="I15" s="1" t="s">
        <v>341</v>
      </c>
      <c r="J15" s="1" t="s">
        <v>342</v>
      </c>
      <c r="K15" s="1" t="s">
        <v>343</v>
      </c>
      <c r="L15" s="1" t="s">
        <v>344</v>
      </c>
      <c r="M15" s="1" t="s">
        <v>345</v>
      </c>
      <c r="N15" s="1" t="s">
        <v>346</v>
      </c>
      <c r="O15" s="1" t="s">
        <v>347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33"/>
      <c r="DD15" s="1"/>
    </row>
    <row r="16" spans="1:108" ht="15">
      <c r="A16" s="11"/>
      <c r="B16" t="s">
        <v>59</v>
      </c>
      <c r="G16" s="36" t="s">
        <v>348</v>
      </c>
      <c r="H16" s="1" t="s">
        <v>349</v>
      </c>
      <c r="I16" s="1" t="s">
        <v>350</v>
      </c>
      <c r="J16" s="1" t="s">
        <v>351</v>
      </c>
      <c r="K16" s="1" t="s">
        <v>352</v>
      </c>
      <c r="L16" s="1" t="s">
        <v>353</v>
      </c>
      <c r="M16" s="1" t="s">
        <v>354</v>
      </c>
      <c r="N16" s="1" t="s">
        <v>355</v>
      </c>
      <c r="O16" s="1" t="s">
        <v>356</v>
      </c>
      <c r="P16" s="1" t="s">
        <v>357</v>
      </c>
      <c r="Q16" s="1" t="s">
        <v>358</v>
      </c>
      <c r="R16" s="1" t="s">
        <v>359</v>
      </c>
      <c r="S16" s="1" t="s">
        <v>360</v>
      </c>
      <c r="T16" s="1" t="s">
        <v>361</v>
      </c>
      <c r="U16" s="1" t="s">
        <v>362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5">
      <c r="A17" s="50"/>
      <c r="B17" t="s">
        <v>173</v>
      </c>
      <c r="G17" s="36" t="s">
        <v>363</v>
      </c>
      <c r="H17" t="s">
        <v>364</v>
      </c>
      <c r="I17" t="s">
        <v>365</v>
      </c>
      <c r="J17" t="s">
        <v>366</v>
      </c>
      <c r="K17" t="s">
        <v>329</v>
      </c>
      <c r="L17" t="s">
        <v>330</v>
      </c>
      <c r="M17" t="s">
        <v>367</v>
      </c>
      <c r="N17" t="s">
        <v>368</v>
      </c>
      <c r="O17" t="s">
        <v>369</v>
      </c>
      <c r="P17" t="s">
        <v>332</v>
      </c>
      <c r="Q17" t="s">
        <v>370</v>
      </c>
      <c r="DC17" s="1"/>
      <c r="DD17" s="1"/>
    </row>
    <row r="18" spans="7:10" ht="15">
      <c r="G18" s="36" t="s">
        <v>371</v>
      </c>
      <c r="H18" t="s">
        <v>372</v>
      </c>
      <c r="I18" t="s">
        <v>373</v>
      </c>
      <c r="J18" t="s">
        <v>374</v>
      </c>
    </row>
    <row r="19" spans="1:15" ht="15">
      <c r="A19" t="s">
        <v>133</v>
      </c>
      <c r="G19" s="36" t="s">
        <v>375</v>
      </c>
      <c r="H19" t="s">
        <v>376</v>
      </c>
      <c r="I19" t="s">
        <v>377</v>
      </c>
      <c r="J19" t="s">
        <v>378</v>
      </c>
      <c r="K19" t="s">
        <v>379</v>
      </c>
      <c r="L19" t="s">
        <v>380</v>
      </c>
      <c r="M19" t="s">
        <v>381</v>
      </c>
      <c r="N19" t="s">
        <v>382</v>
      </c>
      <c r="O19" t="s">
        <v>383</v>
      </c>
    </row>
    <row r="20" spans="1:9" ht="15">
      <c r="A20">
        <v>19</v>
      </c>
      <c r="G20" s="36" t="s">
        <v>384</v>
      </c>
      <c r="H20" t="s">
        <v>385</v>
      </c>
      <c r="I20" t="s">
        <v>386</v>
      </c>
    </row>
    <row r="21" spans="7:9" ht="15">
      <c r="G21" s="36" t="s">
        <v>387</v>
      </c>
      <c r="H21" t="s">
        <v>388</v>
      </c>
      <c r="I21" t="s">
        <v>389</v>
      </c>
    </row>
    <row r="22" spans="1:10" ht="15">
      <c r="A22" t="s">
        <v>134</v>
      </c>
      <c r="G22" s="36" t="s">
        <v>390</v>
      </c>
      <c r="H22" t="s">
        <v>391</v>
      </c>
      <c r="I22" t="s">
        <v>392</v>
      </c>
      <c r="J22" t="s">
        <v>393</v>
      </c>
    </row>
    <row r="23" spans="1:15" ht="15">
      <c r="A23" t="s">
        <v>135</v>
      </c>
      <c r="G23" s="36" t="s">
        <v>394</v>
      </c>
      <c r="H23" t="s">
        <v>395</v>
      </c>
      <c r="I23" t="s">
        <v>396</v>
      </c>
      <c r="J23" t="s">
        <v>397</v>
      </c>
      <c r="K23" t="s">
        <v>398</v>
      </c>
      <c r="L23" t="s">
        <v>399</v>
      </c>
      <c r="M23" t="s">
        <v>400</v>
      </c>
      <c r="N23" t="s">
        <v>401</v>
      </c>
      <c r="O23" t="s">
        <v>402</v>
      </c>
    </row>
    <row r="24" spans="1:24" ht="15">
      <c r="A24" t="s">
        <v>136</v>
      </c>
      <c r="G24" s="36" t="s">
        <v>403</v>
      </c>
      <c r="H24" t="s">
        <v>404</v>
      </c>
      <c r="I24" t="s">
        <v>405</v>
      </c>
      <c r="J24" t="s">
        <v>406</v>
      </c>
      <c r="K24" t="s">
        <v>407</v>
      </c>
      <c r="L24" t="s">
        <v>408</v>
      </c>
      <c r="M24" t="s">
        <v>409</v>
      </c>
      <c r="N24" t="s">
        <v>410</v>
      </c>
      <c r="O24" t="s">
        <v>411</v>
      </c>
      <c r="P24" t="s">
        <v>412</v>
      </c>
      <c r="Q24" t="s">
        <v>413</v>
      </c>
      <c r="R24" t="s">
        <v>414</v>
      </c>
      <c r="S24" t="s">
        <v>415</v>
      </c>
      <c r="T24" t="s">
        <v>416</v>
      </c>
      <c r="U24" t="s">
        <v>417</v>
      </c>
      <c r="V24" t="s">
        <v>418</v>
      </c>
      <c r="W24" t="s">
        <v>419</v>
      </c>
      <c r="X24" t="s">
        <v>420</v>
      </c>
    </row>
    <row r="25" spans="1:10" ht="15">
      <c r="A25" t="s">
        <v>137</v>
      </c>
      <c r="G25" s="36" t="s">
        <v>421</v>
      </c>
      <c r="H25" t="s">
        <v>422</v>
      </c>
      <c r="I25" t="s">
        <v>423</v>
      </c>
      <c r="J25" t="s">
        <v>424</v>
      </c>
    </row>
    <row r="26" spans="1:18" ht="15">
      <c r="A26" t="s">
        <v>138</v>
      </c>
      <c r="G26" s="36" t="s">
        <v>425</v>
      </c>
      <c r="H26" t="s">
        <v>426</v>
      </c>
      <c r="I26" t="s">
        <v>427</v>
      </c>
      <c r="J26" t="s">
        <v>428</v>
      </c>
      <c r="K26" t="s">
        <v>429</v>
      </c>
      <c r="L26" t="s">
        <v>430</v>
      </c>
      <c r="M26" t="s">
        <v>431</v>
      </c>
      <c r="N26" t="s">
        <v>432</v>
      </c>
      <c r="O26" t="s">
        <v>433</v>
      </c>
      <c r="P26" t="s">
        <v>335</v>
      </c>
      <c r="Q26" t="s">
        <v>434</v>
      </c>
      <c r="R26" t="s">
        <v>435</v>
      </c>
    </row>
    <row r="27" spans="1:15" ht="15">
      <c r="A27" t="s">
        <v>139</v>
      </c>
      <c r="G27" s="36" t="s">
        <v>436</v>
      </c>
      <c r="H27" t="s">
        <v>437</v>
      </c>
      <c r="I27" t="s">
        <v>438</v>
      </c>
      <c r="J27" t="s">
        <v>439</v>
      </c>
      <c r="K27" t="s">
        <v>440</v>
      </c>
      <c r="L27" t="s">
        <v>441</v>
      </c>
      <c r="M27" t="s">
        <v>442</v>
      </c>
      <c r="N27" t="s">
        <v>443</v>
      </c>
      <c r="O27" t="s">
        <v>444</v>
      </c>
    </row>
    <row r="28" spans="1:10" ht="15">
      <c r="A28" t="s">
        <v>140</v>
      </c>
      <c r="G28" s="36" t="s">
        <v>445</v>
      </c>
      <c r="H28" t="s">
        <v>446</v>
      </c>
      <c r="I28" t="s">
        <v>447</v>
      </c>
      <c r="J28" t="s">
        <v>448</v>
      </c>
    </row>
    <row r="29" spans="1:14" ht="15">
      <c r="A29" t="s">
        <v>141</v>
      </c>
      <c r="G29" s="36" t="s">
        <v>449</v>
      </c>
      <c r="H29" t="s">
        <v>450</v>
      </c>
      <c r="I29" t="s">
        <v>451</v>
      </c>
      <c r="J29" t="s">
        <v>452</v>
      </c>
      <c r="K29" t="s">
        <v>453</v>
      </c>
      <c r="L29" t="s">
        <v>454</v>
      </c>
      <c r="M29" t="s">
        <v>455</v>
      </c>
      <c r="N29" t="s">
        <v>456</v>
      </c>
    </row>
    <row r="30" spans="1:9" ht="15">
      <c r="A30" t="s">
        <v>142</v>
      </c>
      <c r="G30" s="36" t="s">
        <v>457</v>
      </c>
      <c r="H30" t="s">
        <v>458</v>
      </c>
      <c r="I30" t="s">
        <v>459</v>
      </c>
    </row>
    <row r="31" spans="1:20" ht="15">
      <c r="A31" t="s">
        <v>143</v>
      </c>
      <c r="G31" s="36" t="s">
        <v>460</v>
      </c>
      <c r="H31" t="s">
        <v>461</v>
      </c>
      <c r="I31" t="s">
        <v>462</v>
      </c>
      <c r="J31" t="s">
        <v>463</v>
      </c>
      <c r="K31" t="s">
        <v>464</v>
      </c>
      <c r="L31" t="s">
        <v>465</v>
      </c>
      <c r="M31" t="s">
        <v>466</v>
      </c>
      <c r="N31" t="s">
        <v>467</v>
      </c>
      <c r="O31" t="s">
        <v>468</v>
      </c>
      <c r="P31" t="s">
        <v>469</v>
      </c>
      <c r="Q31" t="s">
        <v>470</v>
      </c>
      <c r="R31" t="s">
        <v>471</v>
      </c>
      <c r="S31" t="s">
        <v>472</v>
      </c>
      <c r="T31" t="s">
        <v>473</v>
      </c>
    </row>
    <row r="32" spans="1:16" ht="15">
      <c r="A32" t="s">
        <v>144</v>
      </c>
      <c r="G32" s="36" t="s">
        <v>474</v>
      </c>
      <c r="H32" t="s">
        <v>475</v>
      </c>
      <c r="I32" t="s">
        <v>476</v>
      </c>
      <c r="J32" t="s">
        <v>477</v>
      </c>
      <c r="K32" t="s">
        <v>478</v>
      </c>
      <c r="L32" t="s">
        <v>479</v>
      </c>
      <c r="M32" t="s">
        <v>480</v>
      </c>
      <c r="N32" t="s">
        <v>481</v>
      </c>
      <c r="O32" t="s">
        <v>482</v>
      </c>
      <c r="P32" t="s">
        <v>483</v>
      </c>
    </row>
    <row r="33" spans="1:14" ht="15">
      <c r="A33" t="s">
        <v>145</v>
      </c>
      <c r="G33" s="36" t="s">
        <v>484</v>
      </c>
      <c r="H33" t="s">
        <v>485</v>
      </c>
      <c r="I33" t="s">
        <v>486</v>
      </c>
      <c r="J33" t="s">
        <v>487</v>
      </c>
      <c r="K33" t="s">
        <v>488</v>
      </c>
      <c r="L33" t="s">
        <v>489</v>
      </c>
      <c r="M33" t="s">
        <v>490</v>
      </c>
      <c r="N33" t="s">
        <v>491</v>
      </c>
    </row>
    <row r="34" spans="1:12" ht="15">
      <c r="A34" t="s">
        <v>146</v>
      </c>
      <c r="G34" s="36" t="s">
        <v>492</v>
      </c>
      <c r="H34" t="s">
        <v>493</v>
      </c>
      <c r="I34" t="s">
        <v>494</v>
      </c>
      <c r="J34" t="s">
        <v>495</v>
      </c>
      <c r="K34" t="s">
        <v>496</v>
      </c>
      <c r="L34" t="s">
        <v>497</v>
      </c>
    </row>
    <row r="35" spans="7:13" ht="15">
      <c r="G35" s="36" t="s">
        <v>498</v>
      </c>
      <c r="H35" t="s">
        <v>499</v>
      </c>
      <c r="I35" t="s">
        <v>500</v>
      </c>
      <c r="J35" t="s">
        <v>501</v>
      </c>
      <c r="K35" t="s">
        <v>502</v>
      </c>
      <c r="L35" t="s">
        <v>503</v>
      </c>
      <c r="M35" t="s">
        <v>504</v>
      </c>
    </row>
    <row r="36" spans="1:20" ht="15">
      <c r="A36" t="s">
        <v>741</v>
      </c>
      <c r="G36" s="36" t="s">
        <v>505</v>
      </c>
      <c r="H36" t="s">
        <v>506</v>
      </c>
      <c r="I36" t="s">
        <v>507</v>
      </c>
      <c r="J36" t="s">
        <v>508</v>
      </c>
      <c r="K36" t="s">
        <v>509</v>
      </c>
      <c r="L36" t="s">
        <v>510</v>
      </c>
      <c r="M36" t="s">
        <v>511</v>
      </c>
      <c r="N36" t="s">
        <v>512</v>
      </c>
      <c r="O36" t="s">
        <v>513</v>
      </c>
      <c r="P36" t="s">
        <v>514</v>
      </c>
      <c r="Q36" t="s">
        <v>515</v>
      </c>
      <c r="R36" t="s">
        <v>516</v>
      </c>
      <c r="S36" t="s">
        <v>517</v>
      </c>
      <c r="T36" t="s">
        <v>518</v>
      </c>
    </row>
    <row r="37" spans="1:11" ht="15">
      <c r="A37">
        <v>1</v>
      </c>
      <c r="G37" s="36" t="s">
        <v>519</v>
      </c>
      <c r="H37" t="s">
        <v>520</v>
      </c>
      <c r="I37" t="s">
        <v>521</v>
      </c>
      <c r="J37" t="s">
        <v>522</v>
      </c>
      <c r="K37" t="s">
        <v>523</v>
      </c>
    </row>
    <row r="38" spans="1:21" ht="15">
      <c r="A38">
        <v>2</v>
      </c>
      <c r="G38" s="36" t="s">
        <v>524</v>
      </c>
      <c r="H38" t="s">
        <v>525</v>
      </c>
      <c r="I38" t="s">
        <v>526</v>
      </c>
      <c r="J38" t="s">
        <v>527</v>
      </c>
      <c r="K38" t="s">
        <v>528</v>
      </c>
      <c r="L38" t="s">
        <v>529</v>
      </c>
      <c r="M38" t="s">
        <v>530</v>
      </c>
      <c r="N38" t="s">
        <v>531</v>
      </c>
      <c r="O38" t="s">
        <v>532</v>
      </c>
      <c r="P38" t="s">
        <v>533</v>
      </c>
      <c r="Q38" t="s">
        <v>534</v>
      </c>
      <c r="R38" t="s">
        <v>535</v>
      </c>
      <c r="S38" t="s">
        <v>536</v>
      </c>
      <c r="T38" t="s">
        <v>537</v>
      </c>
      <c r="U38" t="s">
        <v>538</v>
      </c>
    </row>
    <row r="39" spans="1:9" ht="15">
      <c r="A39">
        <v>3</v>
      </c>
      <c r="G39" s="36" t="s">
        <v>539</v>
      </c>
      <c r="H39" t="s">
        <v>540</v>
      </c>
      <c r="I39" t="s">
        <v>541</v>
      </c>
    </row>
    <row r="40" spans="1:16" ht="15">
      <c r="A40">
        <v>4</v>
      </c>
      <c r="G40" s="36" t="s">
        <v>542</v>
      </c>
      <c r="H40" t="s">
        <v>543</v>
      </c>
      <c r="I40" t="s">
        <v>544</v>
      </c>
      <c r="J40" t="s">
        <v>545</v>
      </c>
      <c r="K40" t="s">
        <v>546</v>
      </c>
      <c r="L40" t="s">
        <v>547</v>
      </c>
      <c r="M40" t="s">
        <v>548</v>
      </c>
      <c r="N40" t="s">
        <v>549</v>
      </c>
      <c r="O40" t="s">
        <v>550</v>
      </c>
      <c r="P40" t="s">
        <v>551</v>
      </c>
    </row>
    <row r="41" spans="1:65" ht="15">
      <c r="A41">
        <v>5</v>
      </c>
      <c r="G41" s="36" t="s">
        <v>789</v>
      </c>
      <c r="H41" t="s">
        <v>552</v>
      </c>
      <c r="I41" t="s">
        <v>553</v>
      </c>
      <c r="J41" t="s">
        <v>554</v>
      </c>
      <c r="K41" t="s">
        <v>555</v>
      </c>
      <c r="L41" t="s">
        <v>556</v>
      </c>
      <c r="M41" t="s">
        <v>557</v>
      </c>
      <c r="N41" t="s">
        <v>558</v>
      </c>
      <c r="O41" t="s">
        <v>559</v>
      </c>
      <c r="P41" t="s">
        <v>560</v>
      </c>
      <c r="Q41" t="s">
        <v>561</v>
      </c>
      <c r="R41" t="s">
        <v>562</v>
      </c>
      <c r="S41" t="s">
        <v>563</v>
      </c>
      <c r="T41" t="s">
        <v>564</v>
      </c>
      <c r="U41" t="s">
        <v>565</v>
      </c>
      <c r="V41" t="s">
        <v>566</v>
      </c>
      <c r="W41" t="s">
        <v>567</v>
      </c>
      <c r="X41" t="s">
        <v>568</v>
      </c>
      <c r="Y41" t="s">
        <v>569</v>
      </c>
      <c r="Z41" t="s">
        <v>570</v>
      </c>
      <c r="AA41" t="s">
        <v>571</v>
      </c>
      <c r="AB41" t="s">
        <v>572</v>
      </c>
      <c r="AC41" t="s">
        <v>573</v>
      </c>
      <c r="AD41" t="s">
        <v>574</v>
      </c>
      <c r="AE41" t="s">
        <v>575</v>
      </c>
      <c r="AF41" t="s">
        <v>576</v>
      </c>
      <c r="AG41" t="s">
        <v>577</v>
      </c>
      <c r="AH41" t="s">
        <v>578</v>
      </c>
      <c r="AI41" t="s">
        <v>579</v>
      </c>
      <c r="AJ41" t="s">
        <v>580</v>
      </c>
      <c r="AK41" t="s">
        <v>581</v>
      </c>
      <c r="AL41" t="s">
        <v>582</v>
      </c>
      <c r="AM41" t="s">
        <v>583</v>
      </c>
      <c r="AN41" t="s">
        <v>584</v>
      </c>
      <c r="AO41" t="s">
        <v>585</v>
      </c>
      <c r="AP41" t="s">
        <v>586</v>
      </c>
      <c r="AQ41" t="s">
        <v>587</v>
      </c>
      <c r="AR41" t="s">
        <v>588</v>
      </c>
      <c r="AS41" t="s">
        <v>589</v>
      </c>
      <c r="AT41" t="s">
        <v>590</v>
      </c>
      <c r="AU41" t="s">
        <v>591</v>
      </c>
      <c r="AV41" t="s">
        <v>592</v>
      </c>
      <c r="AW41" t="s">
        <v>593</v>
      </c>
      <c r="AX41" t="s">
        <v>594</v>
      </c>
      <c r="AY41" t="s">
        <v>595</v>
      </c>
      <c r="AZ41" t="s">
        <v>596</v>
      </c>
      <c r="BA41" t="s">
        <v>597</v>
      </c>
      <c r="BB41" t="s">
        <v>598</v>
      </c>
      <c r="BC41" t="s">
        <v>599</v>
      </c>
      <c r="BD41" t="s">
        <v>600</v>
      </c>
      <c r="BE41" t="s">
        <v>601</v>
      </c>
      <c r="BF41" t="s">
        <v>602</v>
      </c>
      <c r="BG41" t="s">
        <v>603</v>
      </c>
      <c r="BH41" t="s">
        <v>604</v>
      </c>
      <c r="BI41" t="s">
        <v>605</v>
      </c>
      <c r="BJ41" t="s">
        <v>606</v>
      </c>
      <c r="BK41" t="s">
        <v>607</v>
      </c>
      <c r="BL41" t="s">
        <v>608</v>
      </c>
      <c r="BM41" t="s">
        <v>609</v>
      </c>
    </row>
    <row r="42" spans="7:8" ht="15">
      <c r="G42" s="36" t="s">
        <v>610</v>
      </c>
      <c r="H42" t="s">
        <v>611</v>
      </c>
    </row>
    <row r="43" spans="7:15" ht="15">
      <c r="G43" s="36" t="s">
        <v>612</v>
      </c>
      <c r="H43" t="s">
        <v>613</v>
      </c>
      <c r="I43" t="s">
        <v>614</v>
      </c>
      <c r="J43" t="s">
        <v>615</v>
      </c>
      <c r="K43" t="s">
        <v>616</v>
      </c>
      <c r="L43" t="s">
        <v>617</v>
      </c>
      <c r="M43" t="s">
        <v>618</v>
      </c>
      <c r="N43" t="s">
        <v>619</v>
      </c>
      <c r="O43" t="s">
        <v>620</v>
      </c>
    </row>
    <row r="44" spans="7:25" ht="15">
      <c r="G44" s="36" t="s">
        <v>621</v>
      </c>
      <c r="H44" t="s">
        <v>622</v>
      </c>
      <c r="I44" t="s">
        <v>623</v>
      </c>
      <c r="J44" t="s">
        <v>624</v>
      </c>
      <c r="K44" t="s">
        <v>625</v>
      </c>
      <c r="L44" t="s">
        <v>626</v>
      </c>
      <c r="M44" t="s">
        <v>627</v>
      </c>
      <c r="N44" t="s">
        <v>628</v>
      </c>
      <c r="O44" t="s">
        <v>629</v>
      </c>
      <c r="P44" t="s">
        <v>630</v>
      </c>
      <c r="Q44" t="s">
        <v>631</v>
      </c>
      <c r="R44" t="s">
        <v>632</v>
      </c>
      <c r="S44" t="s">
        <v>633</v>
      </c>
      <c r="T44" t="s">
        <v>634</v>
      </c>
      <c r="U44" t="s">
        <v>635</v>
      </c>
      <c r="V44" t="s">
        <v>636</v>
      </c>
      <c r="W44" t="s">
        <v>637</v>
      </c>
      <c r="X44" t="s">
        <v>638</v>
      </c>
      <c r="Y44" t="s">
        <v>639</v>
      </c>
    </row>
    <row r="45" spans="7:16" ht="15">
      <c r="G45" s="36" t="s">
        <v>640</v>
      </c>
      <c r="H45" t="s">
        <v>641</v>
      </c>
      <c r="I45" t="s">
        <v>642</v>
      </c>
      <c r="J45" t="s">
        <v>643</v>
      </c>
      <c r="K45" t="s">
        <v>644</v>
      </c>
      <c r="L45" t="s">
        <v>645</v>
      </c>
      <c r="M45" t="s">
        <v>646</v>
      </c>
      <c r="N45" t="s">
        <v>647</v>
      </c>
      <c r="O45" t="s">
        <v>648</v>
      </c>
      <c r="P45" t="s">
        <v>649</v>
      </c>
    </row>
    <row r="46" spans="7:14" ht="15">
      <c r="G46" s="36" t="s">
        <v>650</v>
      </c>
      <c r="H46">
        <v>107</v>
      </c>
      <c r="I46">
        <v>206</v>
      </c>
      <c r="J46">
        <v>207</v>
      </c>
      <c r="K46">
        <v>307</v>
      </c>
      <c r="L46">
        <v>308</v>
      </c>
      <c r="M46">
        <v>4007</v>
      </c>
      <c r="N46">
        <v>407</v>
      </c>
    </row>
    <row r="47" spans="7:8" ht="15">
      <c r="G47" s="36" t="s">
        <v>651</v>
      </c>
      <c r="H47" t="s">
        <v>652</v>
      </c>
    </row>
    <row r="48" spans="7:11" ht="15">
      <c r="G48" s="36" t="s">
        <v>653</v>
      </c>
      <c r="H48">
        <v>911</v>
      </c>
      <c r="I48" t="s">
        <v>654</v>
      </c>
      <c r="J48" t="s">
        <v>655</v>
      </c>
      <c r="K48" t="s">
        <v>656</v>
      </c>
    </row>
    <row r="49" spans="7:16" ht="15">
      <c r="G49" s="36" t="s">
        <v>657</v>
      </c>
      <c r="H49">
        <v>11</v>
      </c>
      <c r="I49" t="s">
        <v>658</v>
      </c>
      <c r="J49" t="s">
        <v>659</v>
      </c>
      <c r="K49" t="s">
        <v>660</v>
      </c>
      <c r="L49" t="s">
        <v>661</v>
      </c>
      <c r="M49" t="s">
        <v>662</v>
      </c>
      <c r="N49" t="s">
        <v>663</v>
      </c>
      <c r="O49" t="s">
        <v>664</v>
      </c>
      <c r="P49" t="s">
        <v>665</v>
      </c>
    </row>
    <row r="50" spans="7:9" ht="15">
      <c r="G50" s="36" t="s">
        <v>666</v>
      </c>
      <c r="H50" t="s">
        <v>667</v>
      </c>
      <c r="I50" t="s">
        <v>668</v>
      </c>
    </row>
    <row r="51" spans="7:8" ht="15">
      <c r="G51" s="36" t="s">
        <v>669</v>
      </c>
      <c r="H51" t="s">
        <v>670</v>
      </c>
    </row>
    <row r="52" spans="7:11" ht="15">
      <c r="G52" s="36" t="s">
        <v>671</v>
      </c>
      <c r="H52" t="s">
        <v>672</v>
      </c>
      <c r="I52" t="s">
        <v>673</v>
      </c>
      <c r="J52" t="s">
        <v>674</v>
      </c>
      <c r="K52" t="s">
        <v>675</v>
      </c>
    </row>
    <row r="53" spans="7:8" ht="15">
      <c r="G53" s="36" t="s">
        <v>676</v>
      </c>
      <c r="H53" t="s">
        <v>677</v>
      </c>
    </row>
    <row r="54" spans="7:14" ht="15">
      <c r="G54" s="36" t="s">
        <v>678</v>
      </c>
      <c r="H54" t="s">
        <v>679</v>
      </c>
      <c r="I54" t="s">
        <v>366</v>
      </c>
      <c r="J54" t="s">
        <v>680</v>
      </c>
      <c r="K54" t="s">
        <v>681</v>
      </c>
      <c r="L54" t="s">
        <v>682</v>
      </c>
      <c r="M54" t="s">
        <v>683</v>
      </c>
      <c r="N54" t="s">
        <v>684</v>
      </c>
    </row>
    <row r="55" spans="7:12" ht="15">
      <c r="G55" s="36" t="s">
        <v>685</v>
      </c>
      <c r="H55" t="s">
        <v>686</v>
      </c>
      <c r="I55" t="s">
        <v>687</v>
      </c>
      <c r="J55" t="s">
        <v>688</v>
      </c>
      <c r="K55" t="s">
        <v>689</v>
      </c>
      <c r="L55" t="s">
        <v>690</v>
      </c>
    </row>
    <row r="56" spans="7:12" ht="15">
      <c r="G56" s="36" t="s">
        <v>691</v>
      </c>
      <c r="H56" t="s">
        <v>692</v>
      </c>
      <c r="I56" t="s">
        <v>693</v>
      </c>
      <c r="J56" t="s">
        <v>694</v>
      </c>
      <c r="K56" t="s">
        <v>695</v>
      </c>
      <c r="L56" t="s">
        <v>696</v>
      </c>
    </row>
    <row r="57" spans="7:25" ht="15">
      <c r="G57" s="36" t="s">
        <v>697</v>
      </c>
      <c r="H57" t="s">
        <v>698</v>
      </c>
      <c r="I57" t="s">
        <v>699</v>
      </c>
      <c r="J57" t="s">
        <v>700</v>
      </c>
      <c r="K57" t="s">
        <v>701</v>
      </c>
      <c r="L57" t="s">
        <v>702</v>
      </c>
      <c r="M57" t="s">
        <v>703</v>
      </c>
      <c r="N57" t="s">
        <v>704</v>
      </c>
      <c r="O57" t="s">
        <v>705</v>
      </c>
      <c r="P57" t="s">
        <v>706</v>
      </c>
      <c r="Q57" t="s">
        <v>707</v>
      </c>
      <c r="R57" t="s">
        <v>468</v>
      </c>
      <c r="S57" t="s">
        <v>708</v>
      </c>
      <c r="T57" t="s">
        <v>709</v>
      </c>
      <c r="U57" t="s">
        <v>710</v>
      </c>
      <c r="V57" t="s">
        <v>711</v>
      </c>
      <c r="W57" t="s">
        <v>712</v>
      </c>
      <c r="X57" t="s">
        <v>713</v>
      </c>
      <c r="Y57" t="s">
        <v>714</v>
      </c>
    </row>
    <row r="58" spans="7:21" ht="15">
      <c r="G58" s="36" t="s">
        <v>715</v>
      </c>
      <c r="H58" t="s">
        <v>716</v>
      </c>
      <c r="I58" t="s">
        <v>717</v>
      </c>
      <c r="J58" t="s">
        <v>718</v>
      </c>
      <c r="K58" t="s">
        <v>719</v>
      </c>
      <c r="L58" t="s">
        <v>720</v>
      </c>
      <c r="M58" t="s">
        <v>721</v>
      </c>
      <c r="N58" t="s">
        <v>722</v>
      </c>
      <c r="O58" t="s">
        <v>723</v>
      </c>
      <c r="P58" t="s">
        <v>724</v>
      </c>
      <c r="Q58" t="s">
        <v>725</v>
      </c>
      <c r="R58" t="s">
        <v>726</v>
      </c>
      <c r="S58" t="s">
        <v>727</v>
      </c>
      <c r="T58" t="s">
        <v>728</v>
      </c>
      <c r="U58" t="s">
        <v>729</v>
      </c>
    </row>
    <row r="59" spans="7:17" ht="15">
      <c r="G59" s="36" t="s">
        <v>730</v>
      </c>
      <c r="H59" t="s">
        <v>731</v>
      </c>
      <c r="I59" t="s">
        <v>732</v>
      </c>
      <c r="J59" t="s">
        <v>733</v>
      </c>
      <c r="K59" t="s">
        <v>734</v>
      </c>
      <c r="L59" t="s">
        <v>735</v>
      </c>
      <c r="M59" t="s">
        <v>736</v>
      </c>
      <c r="N59" t="s">
        <v>737</v>
      </c>
      <c r="O59" t="s">
        <v>738</v>
      </c>
      <c r="P59" t="s">
        <v>739</v>
      </c>
      <c r="Q59" t="s">
        <v>740</v>
      </c>
    </row>
    <row r="60" spans="7:22" ht="15">
      <c r="G60" s="36" t="s">
        <v>767</v>
      </c>
      <c r="H60">
        <v>2104</v>
      </c>
      <c r="I60">
        <v>2105</v>
      </c>
      <c r="J60">
        <v>2107</v>
      </c>
      <c r="K60">
        <v>2110</v>
      </c>
      <c r="L60">
        <v>2111</v>
      </c>
      <c r="M60">
        <v>2112</v>
      </c>
      <c r="N60">
        <v>2113</v>
      </c>
      <c r="O60">
        <v>2114</v>
      </c>
      <c r="P60" t="s">
        <v>768</v>
      </c>
      <c r="Q60">
        <v>2123</v>
      </c>
      <c r="R60">
        <v>2129</v>
      </c>
      <c r="S60">
        <v>2131</v>
      </c>
      <c r="T60">
        <v>2329</v>
      </c>
      <c r="U60" t="s">
        <v>769</v>
      </c>
      <c r="V60" t="s">
        <v>770</v>
      </c>
    </row>
    <row r="61" spans="7:10" ht="15">
      <c r="G61" s="36" t="s">
        <v>771</v>
      </c>
      <c r="H61">
        <v>3102</v>
      </c>
      <c r="I61">
        <v>31105</v>
      </c>
      <c r="J61" t="s">
        <v>772</v>
      </c>
    </row>
    <row r="62" spans="7:12" ht="15">
      <c r="G62" s="36" t="s">
        <v>773</v>
      </c>
      <c r="H62" t="s">
        <v>774</v>
      </c>
      <c r="I62">
        <v>31514</v>
      </c>
      <c r="J62">
        <v>31519</v>
      </c>
      <c r="K62" t="s">
        <v>775</v>
      </c>
      <c r="L62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1:G2"/>
  <sheetViews>
    <sheetView zoomScale="55" zoomScaleNormal="55" zoomScalePageLayoutView="0" workbookViewId="0" topLeftCell="A1">
      <selection activeCell="I5" sqref="I5"/>
    </sheetView>
  </sheetViews>
  <sheetFormatPr defaultColWidth="9.140625" defaultRowHeight="15"/>
  <cols>
    <col min="1" max="1" width="11.140625" style="0" customWidth="1"/>
    <col min="2" max="3" width="27.57421875" style="2" customWidth="1"/>
  </cols>
  <sheetData>
    <row r="1" spans="1:7" ht="15" customHeight="1">
      <c r="A1" s="3" t="s">
        <v>19</v>
      </c>
      <c r="B1" s="2" t="s">
        <v>20</v>
      </c>
      <c r="C1" s="2" t="s">
        <v>21</v>
      </c>
      <c r="D1" s="3" t="s">
        <v>0</v>
      </c>
      <c r="E1" s="3" t="s">
        <v>163</v>
      </c>
      <c r="F1" s="3" t="s">
        <v>152</v>
      </c>
      <c r="G1" s="3" t="s">
        <v>747</v>
      </c>
    </row>
    <row r="2" spans="1:7" s="103" customFormat="1" ht="60">
      <c r="A2" s="103" t="s">
        <v>801</v>
      </c>
      <c r="B2" s="103">
        <v>39998.53768518518</v>
      </c>
      <c r="C2" s="103">
        <v>39998.538250115744</v>
      </c>
      <c r="D2" s="103" t="s">
        <v>800</v>
      </c>
      <c r="E2" s="103">
        <v>0</v>
      </c>
      <c r="F2" s="168" t="s">
        <v>802</v>
      </c>
      <c r="G2" s="168" t="s">
        <v>803</v>
      </c>
    </row>
    <row r="3" s="103" customFormat="1" ht="15"/>
    <row r="4" s="103" customFormat="1" ht="15"/>
    <row r="5" s="103" customFormat="1" ht="15"/>
    <row r="6" s="103" customFormat="1" ht="15"/>
    <row r="7" s="103" customFormat="1" ht="15"/>
    <row r="8" s="103" customFormat="1" ht="15"/>
    <row r="9" s="103" customFormat="1" ht="15"/>
    <row r="10" s="103" customFormat="1" ht="15"/>
    <row r="11" s="103" customFormat="1" ht="15"/>
    <row r="12" s="103" customFormat="1" ht="15"/>
    <row r="13" s="103" customFormat="1" ht="15"/>
    <row r="14" s="103" customFormat="1" ht="15"/>
    <row r="15" s="103" customFormat="1" ht="15"/>
    <row r="16" s="103" customFormat="1" ht="15"/>
    <row r="17" s="103" customFormat="1" ht="15"/>
  </sheetData>
  <sheetProtection password="C69B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H8"/>
  <sheetViews>
    <sheetView zoomScale="85" zoomScaleNormal="85" zoomScalePageLayoutView="0" workbookViewId="0" topLeftCell="A1">
      <selection activeCell="G7" sqref="G7"/>
    </sheetView>
  </sheetViews>
  <sheetFormatPr defaultColWidth="9.140625" defaultRowHeight="15"/>
  <cols>
    <col min="1" max="1" width="16.00390625" style="4" customWidth="1"/>
    <col min="2" max="2" width="13.28125" style="2" customWidth="1"/>
    <col min="4" max="4" width="16.00390625" style="0" bestFit="1" customWidth="1"/>
    <col min="8" max="8" width="10.28125" style="0" bestFit="1" customWidth="1"/>
  </cols>
  <sheetData>
    <row r="1" spans="1:8" s="3" customFormat="1" ht="15" customHeight="1">
      <c r="A1" s="58" t="s">
        <v>7</v>
      </c>
      <c r="B1" s="38" t="s">
        <v>19</v>
      </c>
      <c r="C1" s="3" t="s">
        <v>0</v>
      </c>
      <c r="D1" s="3" t="s">
        <v>8</v>
      </c>
      <c r="E1" s="3" t="s">
        <v>9</v>
      </c>
      <c r="F1" s="3" t="s">
        <v>754</v>
      </c>
      <c r="G1" s="3" t="s">
        <v>746</v>
      </c>
      <c r="H1" s="3" t="s">
        <v>782</v>
      </c>
    </row>
    <row r="2" spans="1:5" s="103" customFormat="1" ht="15">
      <c r="A2" s="103">
        <v>39998.534941550926</v>
      </c>
      <c r="B2" s="103" t="s">
        <v>792</v>
      </c>
      <c r="C2" s="103" t="s">
        <v>791</v>
      </c>
      <c r="D2" s="103" t="s">
        <v>10</v>
      </c>
      <c r="E2" s="103">
        <v>0</v>
      </c>
    </row>
    <row r="3" spans="1:8" s="103" customFormat="1" ht="45">
      <c r="A3" s="103">
        <v>39998.53511296296</v>
      </c>
      <c r="B3" s="103" t="s">
        <v>792</v>
      </c>
      <c r="C3" s="103" t="s">
        <v>791</v>
      </c>
      <c r="D3" s="103" t="s">
        <v>152</v>
      </c>
      <c r="E3" s="103">
        <v>0</v>
      </c>
      <c r="F3" s="103" t="s">
        <v>757</v>
      </c>
      <c r="G3" s="168" t="s">
        <v>793</v>
      </c>
      <c r="H3" s="103">
        <v>0</v>
      </c>
    </row>
    <row r="4" spans="1:8" s="103" customFormat="1" ht="45">
      <c r="A4" s="103">
        <v>39998.53526851852</v>
      </c>
      <c r="B4" s="103" t="s">
        <v>792</v>
      </c>
      <c r="C4" s="103" t="s">
        <v>791</v>
      </c>
      <c r="D4" s="103" t="s">
        <v>152</v>
      </c>
      <c r="E4" s="103">
        <v>0</v>
      </c>
      <c r="F4" s="103" t="s">
        <v>757</v>
      </c>
      <c r="G4" s="168" t="s">
        <v>794</v>
      </c>
      <c r="H4" s="103">
        <v>0</v>
      </c>
    </row>
    <row r="5" spans="1:8" s="103" customFormat="1" ht="75">
      <c r="A5" s="103">
        <v>39998.53543819444</v>
      </c>
      <c r="B5" s="103" t="s">
        <v>792</v>
      </c>
      <c r="C5" s="103" t="s">
        <v>791</v>
      </c>
      <c r="D5" s="103" t="s">
        <v>12</v>
      </c>
      <c r="E5" s="103">
        <v>0</v>
      </c>
      <c r="F5" s="103">
        <v>1</v>
      </c>
      <c r="G5" s="168" t="s">
        <v>795</v>
      </c>
      <c r="H5" s="103">
        <v>0</v>
      </c>
    </row>
    <row r="6" spans="1:5" s="103" customFormat="1" ht="15">
      <c r="A6" s="103">
        <v>39998.53607037037</v>
      </c>
      <c r="B6" s="103" t="s">
        <v>797</v>
      </c>
      <c r="C6" s="103" t="s">
        <v>796</v>
      </c>
      <c r="D6" s="103" t="s">
        <v>10</v>
      </c>
      <c r="E6" s="103">
        <v>0</v>
      </c>
    </row>
    <row r="7" spans="1:8" s="103" customFormat="1" ht="45">
      <c r="A7" s="103">
        <v>39998.53653518519</v>
      </c>
      <c r="B7" s="103" t="s">
        <v>797</v>
      </c>
      <c r="C7" s="103" t="s">
        <v>796</v>
      </c>
      <c r="D7" s="103" t="s">
        <v>152</v>
      </c>
      <c r="E7" s="103">
        <v>0</v>
      </c>
      <c r="F7" s="103" t="s">
        <v>757</v>
      </c>
      <c r="G7" s="169" t="s">
        <v>798</v>
      </c>
      <c r="H7" s="103">
        <v>0</v>
      </c>
    </row>
    <row r="8" spans="1:8" s="103" customFormat="1" ht="75">
      <c r="A8" s="103">
        <v>39998.53717210648</v>
      </c>
      <c r="B8" s="103" t="s">
        <v>797</v>
      </c>
      <c r="C8" s="103" t="s">
        <v>796</v>
      </c>
      <c r="D8" s="103" t="s">
        <v>12</v>
      </c>
      <c r="E8" s="103">
        <v>0</v>
      </c>
      <c r="F8" s="103">
        <v>1</v>
      </c>
      <c r="G8" s="168" t="s">
        <v>799</v>
      </c>
      <c r="H8" s="103">
        <v>0</v>
      </c>
    </row>
    <row r="9" s="103" customFormat="1" ht="15"/>
    <row r="10" s="103" customFormat="1" ht="15"/>
    <row r="11" s="103" customFormat="1" ht="15"/>
    <row r="12" s="103" customFormat="1" ht="15"/>
    <row r="13" s="103" customFormat="1" ht="15"/>
    <row r="14" s="103" customFormat="1" ht="15"/>
    <row r="15" s="103" customFormat="1" ht="15"/>
    <row r="16" s="103" customFormat="1" ht="15"/>
    <row r="17" s="103" customFormat="1" ht="15"/>
    <row r="18" s="103" customFormat="1" ht="15"/>
  </sheetData>
  <sheetProtection password="C69B" sheet="1" deleteRow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K2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3.28125" style="0" bestFit="1" customWidth="1"/>
    <col min="2" max="3" width="10.140625" style="0" bestFit="1" customWidth="1"/>
    <col min="4" max="4" width="24.140625" style="0" bestFit="1" customWidth="1"/>
    <col min="8" max="8" width="10.140625" style="0" bestFit="1" customWidth="1"/>
    <col min="9" max="9" width="24.140625" style="0" bestFit="1" customWidth="1"/>
  </cols>
  <sheetData>
    <row r="1" ht="15">
      <c r="A1" s="3" t="s">
        <v>22</v>
      </c>
    </row>
    <row r="2" spans="1:11" ht="15">
      <c r="A2" s="3" t="s">
        <v>0</v>
      </c>
      <c r="B2" s="3" t="s">
        <v>1</v>
      </c>
      <c r="C2" s="5" t="s">
        <v>2</v>
      </c>
      <c r="D2" s="3" t="s">
        <v>3</v>
      </c>
      <c r="E2" s="3" t="s">
        <v>4</v>
      </c>
      <c r="F2" s="3" t="s">
        <v>52</v>
      </c>
      <c r="G2" s="3" t="s">
        <v>53</v>
      </c>
      <c r="H2" s="3" t="s">
        <v>61</v>
      </c>
      <c r="I2" s="5" t="s">
        <v>6</v>
      </c>
      <c r="J2" s="3" t="s">
        <v>743</v>
      </c>
      <c r="K2" s="3"/>
    </row>
    <row r="3" spans="1:10" ht="15">
      <c r="A3">
        <f>IF('Ввод данных'!V7="","",'Ввод данных'!V7)</f>
      </c>
      <c r="B3">
        <f>IF('Ввод данных'!B8="","",'Ввод данных'!B8)</f>
      </c>
      <c r="C3">
        <f>IF('Ввод данных'!B9="","",'Ввод данных'!B9)</f>
      </c>
      <c r="D3">
        <f>IF('Ввод данных'!V10="","",'Ввод данных'!V10)</f>
      </c>
      <c r="E3">
        <f>IF('Ввод данных'!B11="","",'Ввод данных'!B11)</f>
      </c>
      <c r="F3">
        <f>IF('Ввод данных'!B12="","",'Ввод данных'!B12)</f>
      </c>
      <c r="G3">
        <f>IF('Ввод данных'!V14="","",'Ввод данных'!V14)</f>
      </c>
      <c r="H3">
        <f>IF('Ввод данных'!B15="","",'Ввод данных'!B15)</f>
      </c>
      <c r="I3">
        <f>IF('Ввод данных'!B16="","",'Ввод данных'!B16)</f>
      </c>
      <c r="J3">
        <f>'Ввод данных'!B17</f>
        <v>0</v>
      </c>
    </row>
    <row r="5" ht="15">
      <c r="A5" s="3" t="s">
        <v>23</v>
      </c>
    </row>
    <row r="6" spans="1:7" ht="15">
      <c r="A6" s="3" t="s">
        <v>19</v>
      </c>
      <c r="B6" s="3" t="s">
        <v>20</v>
      </c>
      <c r="C6" s="3" t="s">
        <v>21</v>
      </c>
      <c r="D6" s="3" t="s">
        <v>0</v>
      </c>
      <c r="E6" s="3" t="s">
        <v>163</v>
      </c>
      <c r="F6" s="3" t="s">
        <v>152</v>
      </c>
      <c r="G6" s="3" t="s">
        <v>747</v>
      </c>
    </row>
    <row r="7" spans="1:7" ht="15">
      <c r="A7" t="str">
        <f>'Где автомобиль'!$B$2</f>
        <v>17-04-07-09</v>
      </c>
      <c r="B7" s="4">
        <f>'Где автомобиль'!C2</f>
        <v>39998.534941550926</v>
      </c>
      <c r="C7" s="4">
        <f>'Где автомобиль'!E2</f>
        <v>39998.54268888889</v>
      </c>
      <c r="D7" t="str">
        <f>'Где автомобиль'!A2</f>
        <v>О343РС43</v>
      </c>
      <c r="E7">
        <f>'Где автомобиль'!E9</f>
        <v>0</v>
      </c>
      <c r="F7" t="str">
        <f>'Где автомобиль'!A21&amp;'Где автомобиль'!A27&amp;'Где автомобиль'!A33&amp;'Где автомобиль'!A39&amp;'Где автомобиль'!A45</f>
        <v>Деталь1
Деталь2
Деталь 3
Деталь 4
</v>
      </c>
      <c r="G7" t="str">
        <f>'Где автомобиль'!C20</f>
        <v>Поломка 1
Поломка 2
</v>
      </c>
    </row>
    <row r="9" ht="15">
      <c r="A9" s="3"/>
    </row>
    <row r="13" ht="15">
      <c r="A13" s="3"/>
    </row>
    <row r="17" ht="15">
      <c r="A17" s="3"/>
    </row>
    <row r="21" ht="15">
      <c r="A21" s="3" t="s">
        <v>24</v>
      </c>
    </row>
    <row r="22" spans="1:8" ht="15">
      <c r="A22" s="38" t="s">
        <v>7</v>
      </c>
      <c r="B22" s="38" t="s">
        <v>19</v>
      </c>
      <c r="C22" s="3" t="s">
        <v>0</v>
      </c>
      <c r="D22" s="3" t="s">
        <v>8</v>
      </c>
      <c r="E22" s="3" t="s">
        <v>9</v>
      </c>
      <c r="F22" s="3" t="s">
        <v>745</v>
      </c>
      <c r="H22" s="3" t="s">
        <v>782</v>
      </c>
    </row>
    <row r="23" spans="1:6" ht="15">
      <c r="A23" s="2">
        <f>'Ввод данных'!B3</f>
        <v>39998.54268888889</v>
      </c>
      <c r="B23" t="str">
        <f>'Ввод данных'!A20</f>
        <v>20-04-07-09</v>
      </c>
      <c r="C23" s="1">
        <f>'Ввод данных'!V7</f>
      </c>
      <c r="D23" t="s">
        <v>10</v>
      </c>
      <c r="E23">
        <f>'Ввод данных'!A23</f>
        <v>0</v>
      </c>
      <c r="F23">
        <f>'Ввод данных'!B13</f>
        <v>0</v>
      </c>
    </row>
    <row r="24" spans="1:8" ht="15">
      <c r="A24" s="4">
        <f>'Заказ запчастей'!C5</f>
        <v>39998.54268888889</v>
      </c>
      <c r="B24" t="str">
        <f>'Заказ запчастей'!C6</f>
        <v>19-04-07-09</v>
      </c>
      <c r="C24" s="4" t="str">
        <f>'Заказ запчастей'!C7</f>
        <v>О233РТ44</v>
      </c>
      <c r="D24" t="s">
        <v>152</v>
      </c>
      <c r="E24">
        <f>'Заказ запчастей'!C11</f>
        <v>0</v>
      </c>
      <c r="F24" t="str">
        <f>'Заказ запчастей'!C13</f>
        <v>клиент</v>
      </c>
      <c r="H24">
        <f>'Заказ запчастей'!D5</f>
        <v>0</v>
      </c>
    </row>
    <row r="25" spans="1:8" ht="15">
      <c r="A25" s="4">
        <f>'Заказ-наряд'!B5</f>
        <v>39998.54268888889</v>
      </c>
      <c r="B25" t="str">
        <f>'Заказ-наряд'!D6</f>
        <v>19-04-07-09</v>
      </c>
      <c r="C25" s="4" t="str">
        <f>'Заказ-наряд'!D7</f>
        <v>О233РТ44</v>
      </c>
      <c r="D25" t="s">
        <v>12</v>
      </c>
      <c r="E25">
        <f>'Заказ-наряд'!D10</f>
        <v>0</v>
      </c>
      <c r="F25">
        <f>'Заказ-наряд'!D12</f>
        <v>1</v>
      </c>
      <c r="H25" s="4">
        <f>'Заказ-наряд'!E5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HI212"/>
  <sheetViews>
    <sheetView showGridLines="0" showZeros="0" tabSelected="1" zoomScalePageLayoutView="0" workbookViewId="0" topLeftCell="A1">
      <selection activeCell="A2" sqref="A2"/>
    </sheetView>
  </sheetViews>
  <sheetFormatPr defaultColWidth="9.140625" defaultRowHeight="21.75" customHeight="1"/>
  <cols>
    <col min="1" max="1" width="18.00390625" style="0" bestFit="1" customWidth="1"/>
    <col min="2" max="2" width="16.00390625" style="0" bestFit="1" customWidth="1"/>
    <col min="3" max="3" width="15.8515625" style="0" customWidth="1"/>
    <col min="4" max="4" width="17.57421875" style="0" bestFit="1" customWidth="1"/>
    <col min="5" max="5" width="15.28125" style="0" bestFit="1" customWidth="1"/>
    <col min="6" max="6" width="4.00390625" style="0" bestFit="1" customWidth="1"/>
    <col min="7" max="7" width="10.7109375" style="0" customWidth="1"/>
    <col min="8" max="8" width="11.140625" style="0" bestFit="1" customWidth="1"/>
    <col min="9" max="9" width="14.57421875" style="0" customWidth="1"/>
    <col min="10" max="10" width="13.57421875" style="0" customWidth="1"/>
    <col min="11" max="11" width="9.140625" style="0" customWidth="1"/>
    <col min="12" max="12" width="12.00390625" style="0" bestFit="1" customWidth="1"/>
    <col min="13" max="13" width="14.00390625" style="0" bestFit="1" customWidth="1"/>
    <col min="15" max="15" width="15.421875" style="0" customWidth="1"/>
    <col min="16" max="19" width="9.140625" style="0" customWidth="1"/>
    <col min="20" max="20" width="10.28125" style="0" customWidth="1"/>
    <col min="21" max="217" width="9.140625" style="0" customWidth="1"/>
  </cols>
  <sheetData>
    <row r="1" spans="1:217" ht="21.75" customHeight="1" thickBot="1">
      <c r="A1" s="13" t="s">
        <v>18</v>
      </c>
      <c r="B1" s="13" t="s">
        <v>19</v>
      </c>
      <c r="C1" s="13" t="s">
        <v>20</v>
      </c>
      <c r="D1" s="13"/>
      <c r="E1" s="13" t="s">
        <v>160</v>
      </c>
      <c r="G1" s="114" t="s">
        <v>166</v>
      </c>
      <c r="H1" s="114"/>
      <c r="I1" s="114"/>
      <c r="J1" s="114" t="s">
        <v>171</v>
      </c>
      <c r="K1" s="114"/>
      <c r="L1" s="114"/>
      <c r="P1" s="3" t="s">
        <v>8</v>
      </c>
      <c r="Q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I1" t="s">
        <v>0</v>
      </c>
      <c r="AJ1" t="s">
        <v>0</v>
      </c>
      <c r="AK1" t="s">
        <v>0</v>
      </c>
      <c r="AL1" t="s">
        <v>0</v>
      </c>
      <c r="AM1" t="s">
        <v>0</v>
      </c>
      <c r="AN1" t="s">
        <v>0</v>
      </c>
      <c r="AO1" t="s">
        <v>0</v>
      </c>
      <c r="AP1" t="s">
        <v>0</v>
      </c>
      <c r="AQ1" t="s">
        <v>0</v>
      </c>
      <c r="AR1" t="s">
        <v>0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  <c r="BI1" t="s">
        <v>0</v>
      </c>
      <c r="BJ1" t="s">
        <v>0</v>
      </c>
      <c r="BK1" t="s">
        <v>0</v>
      </c>
      <c r="BL1" t="s">
        <v>0</v>
      </c>
      <c r="BM1" t="s">
        <v>0</v>
      </c>
      <c r="BN1" t="s">
        <v>0</v>
      </c>
      <c r="BO1" t="s">
        <v>0</v>
      </c>
      <c r="BP1" t="s">
        <v>0</v>
      </c>
      <c r="BQ1" t="s">
        <v>0</v>
      </c>
      <c r="BR1" t="s">
        <v>0</v>
      </c>
      <c r="BS1" t="s">
        <v>0</v>
      </c>
      <c r="BT1" t="s">
        <v>0</v>
      </c>
      <c r="BU1" t="s">
        <v>0</v>
      </c>
      <c r="BV1" t="s">
        <v>0</v>
      </c>
      <c r="BW1" t="s">
        <v>0</v>
      </c>
      <c r="BX1" t="s">
        <v>0</v>
      </c>
      <c r="BY1" t="s">
        <v>0</v>
      </c>
      <c r="BZ1" t="s">
        <v>0</v>
      </c>
      <c r="CA1" t="s">
        <v>0</v>
      </c>
      <c r="CB1" t="s">
        <v>0</v>
      </c>
      <c r="CC1" t="s">
        <v>0</v>
      </c>
      <c r="CD1" t="s">
        <v>0</v>
      </c>
      <c r="CE1" t="s">
        <v>0</v>
      </c>
      <c r="CF1" t="s">
        <v>0</v>
      </c>
      <c r="CG1" t="s">
        <v>0</v>
      </c>
      <c r="CH1" t="s">
        <v>0</v>
      </c>
      <c r="CI1" t="s">
        <v>0</v>
      </c>
      <c r="CJ1" t="s">
        <v>0</v>
      </c>
      <c r="CK1" t="s">
        <v>0</v>
      </c>
      <c r="CL1" t="s">
        <v>0</v>
      </c>
      <c r="CM1" t="s">
        <v>0</v>
      </c>
      <c r="CN1" t="s">
        <v>0</v>
      </c>
      <c r="CO1" t="s">
        <v>0</v>
      </c>
      <c r="CP1" t="s">
        <v>0</v>
      </c>
      <c r="CQ1" t="s">
        <v>0</v>
      </c>
      <c r="CR1" t="s">
        <v>0</v>
      </c>
      <c r="CS1" t="s">
        <v>0</v>
      </c>
      <c r="CT1" t="s">
        <v>0</v>
      </c>
      <c r="CU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t="s">
        <v>0</v>
      </c>
      <c r="DK1" t="s">
        <v>0</v>
      </c>
      <c r="DL1" t="s">
        <v>0</v>
      </c>
      <c r="DM1" t="s">
        <v>0</v>
      </c>
      <c r="DN1" t="s">
        <v>0</v>
      </c>
      <c r="DO1" t="s">
        <v>0</v>
      </c>
      <c r="DP1" t="s">
        <v>0</v>
      </c>
      <c r="DQ1" t="s">
        <v>0</v>
      </c>
      <c r="DR1" t="s">
        <v>0</v>
      </c>
      <c r="DS1" t="s">
        <v>0</v>
      </c>
      <c r="DT1" t="s">
        <v>0</v>
      </c>
      <c r="DU1" t="s">
        <v>0</v>
      </c>
      <c r="DV1" t="s">
        <v>0</v>
      </c>
      <c r="DW1" t="s">
        <v>0</v>
      </c>
      <c r="DX1" t="s">
        <v>0</v>
      </c>
      <c r="DY1" t="s">
        <v>0</v>
      </c>
      <c r="DZ1" t="s">
        <v>0</v>
      </c>
      <c r="EA1" t="s">
        <v>0</v>
      </c>
      <c r="EB1" t="s">
        <v>0</v>
      </c>
      <c r="EC1" t="s">
        <v>0</v>
      </c>
      <c r="ED1" t="s">
        <v>0</v>
      </c>
      <c r="EE1" t="s">
        <v>0</v>
      </c>
      <c r="EF1" t="s">
        <v>0</v>
      </c>
      <c r="EG1" t="s">
        <v>0</v>
      </c>
      <c r="EH1" t="s">
        <v>0</v>
      </c>
      <c r="EI1" t="s">
        <v>0</v>
      </c>
      <c r="EJ1" t="s">
        <v>0</v>
      </c>
      <c r="EK1" t="s">
        <v>0</v>
      </c>
      <c r="EL1" t="s">
        <v>0</v>
      </c>
      <c r="EM1" t="s">
        <v>0</v>
      </c>
      <c r="EN1" t="s">
        <v>0</v>
      </c>
      <c r="EO1" t="s">
        <v>0</v>
      </c>
      <c r="EP1" t="s">
        <v>0</v>
      </c>
      <c r="EQ1" t="s">
        <v>0</v>
      </c>
      <c r="ER1" t="s">
        <v>0</v>
      </c>
      <c r="ES1" t="s">
        <v>0</v>
      </c>
      <c r="ET1" t="s">
        <v>0</v>
      </c>
      <c r="EU1" t="s">
        <v>0</v>
      </c>
      <c r="EV1" t="s">
        <v>0</v>
      </c>
      <c r="EW1" t="s">
        <v>0</v>
      </c>
      <c r="EX1" t="s">
        <v>0</v>
      </c>
      <c r="EY1" t="s">
        <v>0</v>
      </c>
      <c r="EZ1" t="s">
        <v>0</v>
      </c>
      <c r="FA1" t="s">
        <v>0</v>
      </c>
      <c r="FB1" t="s">
        <v>0</v>
      </c>
      <c r="FC1" t="s">
        <v>0</v>
      </c>
      <c r="FD1" t="s">
        <v>0</v>
      </c>
      <c r="FE1" t="s">
        <v>0</v>
      </c>
      <c r="FF1" t="s">
        <v>0</v>
      </c>
      <c r="FG1" t="s">
        <v>0</v>
      </c>
      <c r="FH1" t="s">
        <v>0</v>
      </c>
      <c r="FI1" t="s">
        <v>0</v>
      </c>
      <c r="FJ1" t="s">
        <v>0</v>
      </c>
      <c r="FK1" t="s">
        <v>0</v>
      </c>
      <c r="FL1" t="s">
        <v>0</v>
      </c>
      <c r="FM1" t="s">
        <v>0</v>
      </c>
      <c r="FN1" t="s">
        <v>0</v>
      </c>
      <c r="FO1" t="s">
        <v>0</v>
      </c>
      <c r="FP1" t="s">
        <v>0</v>
      </c>
      <c r="FQ1" t="s">
        <v>0</v>
      </c>
      <c r="FR1" t="s">
        <v>0</v>
      </c>
      <c r="FS1" t="s">
        <v>0</v>
      </c>
      <c r="FT1" t="s">
        <v>0</v>
      </c>
      <c r="FU1" t="s">
        <v>0</v>
      </c>
      <c r="FV1" t="s">
        <v>0</v>
      </c>
      <c r="FW1" t="s">
        <v>0</v>
      </c>
      <c r="FX1" t="s">
        <v>0</v>
      </c>
      <c r="FY1" t="s">
        <v>0</v>
      </c>
      <c r="FZ1" t="s">
        <v>0</v>
      </c>
      <c r="GA1" t="s">
        <v>0</v>
      </c>
      <c r="GB1" t="s">
        <v>0</v>
      </c>
      <c r="GC1" t="s">
        <v>0</v>
      </c>
      <c r="GD1" t="s">
        <v>0</v>
      </c>
      <c r="GE1" t="s">
        <v>0</v>
      </c>
      <c r="GF1" t="s">
        <v>0</v>
      </c>
      <c r="GG1" t="s">
        <v>0</v>
      </c>
      <c r="GH1" t="s">
        <v>0</v>
      </c>
      <c r="GI1" t="s">
        <v>0</v>
      </c>
      <c r="GJ1" t="s">
        <v>0</v>
      </c>
      <c r="GK1" t="s">
        <v>0</v>
      </c>
      <c r="GL1" t="s">
        <v>0</v>
      </c>
      <c r="GM1" t="s">
        <v>0</v>
      </c>
      <c r="GN1" t="s">
        <v>0</v>
      </c>
      <c r="GO1" t="s">
        <v>0</v>
      </c>
      <c r="GP1" t="s">
        <v>0</v>
      </c>
      <c r="GQ1" t="s">
        <v>0</v>
      </c>
      <c r="GR1" t="s">
        <v>0</v>
      </c>
      <c r="GS1" t="s">
        <v>0</v>
      </c>
      <c r="GT1" t="s">
        <v>0</v>
      </c>
      <c r="GU1" t="s">
        <v>0</v>
      </c>
      <c r="GV1" t="s">
        <v>0</v>
      </c>
      <c r="GW1" t="s">
        <v>0</v>
      </c>
      <c r="GX1" t="s">
        <v>0</v>
      </c>
      <c r="GY1" t="s">
        <v>0</v>
      </c>
      <c r="GZ1" t="s">
        <v>0</v>
      </c>
      <c r="HA1" t="s">
        <v>0</v>
      </c>
      <c r="HB1" t="s">
        <v>0</v>
      </c>
      <c r="HC1" t="s">
        <v>0</v>
      </c>
      <c r="HD1" t="s">
        <v>0</v>
      </c>
      <c r="HE1" t="s">
        <v>0</v>
      </c>
      <c r="HF1" t="s">
        <v>0</v>
      </c>
      <c r="HG1" t="s">
        <v>0</v>
      </c>
      <c r="HH1" t="s">
        <v>0</v>
      </c>
      <c r="HI1" t="s">
        <v>0</v>
      </c>
    </row>
    <row r="2" spans="1:217" ht="21.75" customHeight="1" thickTop="1">
      <c r="A2" s="77" t="s">
        <v>791</v>
      </c>
      <c r="B2" s="75" t="str">
        <f>IF(ISERROR(DGET(Sob,2,P1:Q2)),"Такой машины на учете нет",DGET(Sob,2,P1:Q2))</f>
        <v>17-04-07-09</v>
      </c>
      <c r="C2" s="76">
        <f>IF(ISERROR(DGET(Sob,1,P1:Q2)),"Такой машины на учете нет",DGET(Sob,1,P1:Q2))</f>
        <v>39998.534941550926</v>
      </c>
      <c r="E2" s="43">
        <f ca="1">NOW()</f>
        <v>39998.54268888889</v>
      </c>
      <c r="G2" s="51" t="s">
        <v>31</v>
      </c>
      <c r="H2" s="48" t="s">
        <v>60</v>
      </c>
      <c r="J2" s="51" t="s">
        <v>31</v>
      </c>
      <c r="K2" s="48" t="s">
        <v>130</v>
      </c>
      <c r="P2" t="s">
        <v>10</v>
      </c>
      <c r="Q2" t="str">
        <f>A2</f>
        <v>О343РС43</v>
      </c>
      <c r="T2" s="41" t="str">
        <f ca="1">INDIRECT("I"&amp;T3)</f>
        <v>О343РС43</v>
      </c>
      <c r="U2" s="41" t="str">
        <f ca="1">INDIRECT("I"&amp;U3)</f>
        <v>Р332ОР32</v>
      </c>
      <c r="V2" s="41">
        <f ca="1" t="shared" si="0" ref="V2:CG2">INDIRECT("I"&amp;V3)</f>
      </c>
      <c r="W2" s="41">
        <f ca="1" t="shared" si="0"/>
      </c>
      <c r="X2" s="41">
        <f ca="1" t="shared" si="0"/>
      </c>
      <c r="Y2">
        <f ca="1" t="shared" si="0"/>
      </c>
      <c r="Z2">
        <f ca="1" t="shared" si="0"/>
      </c>
      <c r="AA2">
        <f ca="1" t="shared" si="0"/>
      </c>
      <c r="AB2">
        <f ca="1" t="shared" si="0"/>
      </c>
      <c r="AC2">
        <f ca="1" t="shared" si="0"/>
      </c>
      <c r="AD2">
        <f ca="1" t="shared" si="0"/>
      </c>
      <c r="AE2">
        <f ca="1" t="shared" si="0"/>
      </c>
      <c r="AF2">
        <f ca="1" t="shared" si="0"/>
      </c>
      <c r="AG2">
        <f ca="1" t="shared" si="0"/>
      </c>
      <c r="AH2">
        <f ca="1" t="shared" si="0"/>
      </c>
      <c r="AI2">
        <f ca="1" t="shared" si="0"/>
      </c>
      <c r="AJ2">
        <f ca="1" t="shared" si="0"/>
      </c>
      <c r="AK2">
        <f ca="1" t="shared" si="0"/>
      </c>
      <c r="AL2">
        <f ca="1" t="shared" si="0"/>
      </c>
      <c r="AM2">
        <f ca="1" t="shared" si="0"/>
      </c>
      <c r="AN2">
        <f ca="1" t="shared" si="0"/>
      </c>
      <c r="AO2">
        <f ca="1" t="shared" si="0"/>
      </c>
      <c r="AP2">
        <f ca="1" t="shared" si="0"/>
      </c>
      <c r="AQ2">
        <f ca="1" t="shared" si="0"/>
      </c>
      <c r="AR2">
        <f ca="1" t="shared" si="0"/>
      </c>
      <c r="AS2">
        <f ca="1" t="shared" si="0"/>
      </c>
      <c r="AT2">
        <f ca="1" t="shared" si="0"/>
      </c>
      <c r="AU2">
        <f ca="1" t="shared" si="0"/>
      </c>
      <c r="AV2">
        <f ca="1" t="shared" si="0"/>
      </c>
      <c r="AW2">
        <f ca="1" t="shared" si="0"/>
      </c>
      <c r="AX2">
        <f ca="1" t="shared" si="0"/>
      </c>
      <c r="AY2">
        <f ca="1" t="shared" si="0"/>
      </c>
      <c r="AZ2">
        <f ca="1" t="shared" si="0"/>
      </c>
      <c r="BA2">
        <f ca="1" t="shared" si="0"/>
      </c>
      <c r="BB2">
        <f ca="1" t="shared" si="0"/>
      </c>
      <c r="BC2">
        <f ca="1" t="shared" si="0"/>
      </c>
      <c r="BD2">
        <f ca="1" t="shared" si="0"/>
      </c>
      <c r="BE2">
        <f ca="1" t="shared" si="0"/>
      </c>
      <c r="BF2">
        <f ca="1" t="shared" si="0"/>
      </c>
      <c r="BG2">
        <f ca="1" t="shared" si="0"/>
      </c>
      <c r="BH2">
        <f ca="1" t="shared" si="0"/>
      </c>
      <c r="BI2">
        <f ca="1" t="shared" si="0"/>
      </c>
      <c r="BJ2">
        <f ca="1" t="shared" si="0"/>
      </c>
      <c r="BK2">
        <f ca="1" t="shared" si="0"/>
      </c>
      <c r="BL2">
        <f ca="1" t="shared" si="0"/>
      </c>
      <c r="BM2">
        <f ca="1" t="shared" si="0"/>
      </c>
      <c r="BN2">
        <f ca="1" t="shared" si="0"/>
      </c>
      <c r="BO2">
        <f ca="1" t="shared" si="0"/>
      </c>
      <c r="BP2">
        <f ca="1" t="shared" si="0"/>
      </c>
      <c r="BQ2">
        <f ca="1" t="shared" si="0"/>
      </c>
      <c r="BR2">
        <f ca="1" t="shared" si="0"/>
      </c>
      <c r="BS2">
        <f ca="1" t="shared" si="0"/>
      </c>
      <c r="BT2">
        <f ca="1" t="shared" si="0"/>
      </c>
      <c r="BU2">
        <f ca="1" t="shared" si="0"/>
      </c>
      <c r="BV2">
        <f ca="1" t="shared" si="0"/>
      </c>
      <c r="BW2">
        <f ca="1" t="shared" si="0"/>
      </c>
      <c r="BX2">
        <f ca="1" t="shared" si="0"/>
      </c>
      <c r="BY2">
        <f ca="1" t="shared" si="0"/>
      </c>
      <c r="BZ2">
        <f ca="1" t="shared" si="0"/>
      </c>
      <c r="CA2">
        <f ca="1" t="shared" si="0"/>
      </c>
      <c r="CB2">
        <f ca="1" t="shared" si="0"/>
      </c>
      <c r="CC2">
        <f ca="1" t="shared" si="0"/>
      </c>
      <c r="CD2">
        <f ca="1" t="shared" si="0"/>
      </c>
      <c r="CE2">
        <f ca="1" t="shared" si="0"/>
      </c>
      <c r="CF2">
        <f ca="1" t="shared" si="0"/>
      </c>
      <c r="CG2">
        <f ca="1" t="shared" si="0"/>
      </c>
      <c r="CH2">
        <f ca="1" t="shared" si="1" ref="CH2:ES2">INDIRECT("I"&amp;CH3)</f>
      </c>
      <c r="CI2">
        <f ca="1" t="shared" si="1"/>
      </c>
      <c r="CJ2">
        <f ca="1" t="shared" si="1"/>
      </c>
      <c r="CK2">
        <f ca="1" t="shared" si="1"/>
      </c>
      <c r="CL2">
        <f ca="1" t="shared" si="1"/>
      </c>
      <c r="CM2">
        <f ca="1" t="shared" si="1"/>
      </c>
      <c r="CN2">
        <f ca="1" t="shared" si="1"/>
      </c>
      <c r="CO2">
        <f ca="1" t="shared" si="1"/>
      </c>
      <c r="CP2">
        <f ca="1" t="shared" si="1"/>
      </c>
      <c r="CQ2">
        <f ca="1" t="shared" si="1"/>
      </c>
      <c r="CR2">
        <f ca="1" t="shared" si="1"/>
      </c>
      <c r="CS2">
        <f ca="1" t="shared" si="1"/>
      </c>
      <c r="CT2">
        <f ca="1" t="shared" si="1"/>
      </c>
      <c r="CU2">
        <f ca="1" t="shared" si="1"/>
      </c>
      <c r="CV2">
        <f ca="1" t="shared" si="1"/>
      </c>
      <c r="CW2">
        <f ca="1" t="shared" si="1"/>
      </c>
      <c r="CX2">
        <f ca="1" t="shared" si="1"/>
      </c>
      <c r="CY2">
        <f ca="1" t="shared" si="1"/>
      </c>
      <c r="CZ2">
        <f ca="1" t="shared" si="1"/>
      </c>
      <c r="DA2">
        <f ca="1" t="shared" si="1"/>
      </c>
      <c r="DB2">
        <f ca="1" t="shared" si="1"/>
      </c>
      <c r="DC2">
        <f ca="1" t="shared" si="1"/>
      </c>
      <c r="DD2">
        <f ca="1" t="shared" si="1"/>
      </c>
      <c r="DE2">
        <f ca="1" t="shared" si="1"/>
      </c>
      <c r="DF2">
        <f ca="1" t="shared" si="1"/>
      </c>
      <c r="DG2">
        <f ca="1" t="shared" si="1"/>
      </c>
      <c r="DH2">
        <f ca="1" t="shared" si="1"/>
      </c>
      <c r="DI2">
        <f ca="1" t="shared" si="1"/>
      </c>
      <c r="DJ2">
        <f ca="1" t="shared" si="1"/>
      </c>
      <c r="DK2">
        <f ca="1" t="shared" si="1"/>
      </c>
      <c r="DL2">
        <f ca="1" t="shared" si="1"/>
      </c>
      <c r="DM2">
        <f ca="1" t="shared" si="1"/>
      </c>
      <c r="DN2">
        <f ca="1" t="shared" si="1"/>
      </c>
      <c r="DO2">
        <f ca="1" t="shared" si="1"/>
      </c>
      <c r="DP2">
        <f ca="1" t="shared" si="1"/>
      </c>
      <c r="DQ2">
        <f ca="1" t="shared" si="1"/>
      </c>
      <c r="DR2">
        <f ca="1" t="shared" si="1"/>
      </c>
      <c r="DS2">
        <f ca="1" t="shared" si="1"/>
      </c>
      <c r="DT2">
        <f ca="1" t="shared" si="1"/>
      </c>
      <c r="DU2">
        <f ca="1" t="shared" si="1"/>
      </c>
      <c r="DV2">
        <f ca="1" t="shared" si="1"/>
      </c>
      <c r="DW2">
        <f ca="1" t="shared" si="1"/>
      </c>
      <c r="DX2">
        <f ca="1" t="shared" si="1"/>
      </c>
      <c r="DY2">
        <f ca="1" t="shared" si="1"/>
      </c>
      <c r="DZ2">
        <f ca="1" t="shared" si="1"/>
      </c>
      <c r="EA2">
        <f ca="1" t="shared" si="1"/>
      </c>
      <c r="EB2">
        <f ca="1" t="shared" si="1"/>
      </c>
      <c r="EC2">
        <f ca="1" t="shared" si="1"/>
      </c>
      <c r="ED2">
        <f ca="1" t="shared" si="1"/>
      </c>
      <c r="EE2">
        <f ca="1" t="shared" si="1"/>
      </c>
      <c r="EF2">
        <f ca="1" t="shared" si="1"/>
      </c>
      <c r="EG2">
        <f ca="1" t="shared" si="1"/>
      </c>
      <c r="EH2">
        <f ca="1" t="shared" si="1"/>
      </c>
      <c r="EI2">
        <f ca="1" t="shared" si="1"/>
      </c>
      <c r="EJ2">
        <f ca="1" t="shared" si="1"/>
      </c>
      <c r="EK2">
        <f ca="1" t="shared" si="1"/>
      </c>
      <c r="EL2">
        <f ca="1" t="shared" si="1"/>
      </c>
      <c r="EM2">
        <f ca="1" t="shared" si="1"/>
      </c>
      <c r="EN2">
        <f ca="1" t="shared" si="1"/>
      </c>
      <c r="EO2">
        <f ca="1" t="shared" si="1"/>
      </c>
      <c r="EP2">
        <f ca="1" t="shared" si="1"/>
      </c>
      <c r="EQ2">
        <f ca="1" t="shared" si="1"/>
      </c>
      <c r="ER2">
        <f ca="1" t="shared" si="1"/>
      </c>
      <c r="ES2">
        <f ca="1" t="shared" si="1"/>
      </c>
      <c r="ET2">
        <f ca="1" t="shared" si="2" ref="ET2:HE2">INDIRECT("I"&amp;ET3)</f>
      </c>
      <c r="EU2">
        <f ca="1" t="shared" si="2"/>
      </c>
      <c r="EV2">
        <f ca="1" t="shared" si="2"/>
      </c>
      <c r="EW2">
        <f ca="1" t="shared" si="2"/>
      </c>
      <c r="EX2">
        <f ca="1" t="shared" si="2"/>
      </c>
      <c r="EY2">
        <f ca="1" t="shared" si="2"/>
      </c>
      <c r="EZ2">
        <f ca="1" t="shared" si="2"/>
      </c>
      <c r="FA2">
        <f ca="1" t="shared" si="2"/>
      </c>
      <c r="FB2">
        <f ca="1" t="shared" si="2"/>
      </c>
      <c r="FC2">
        <f ca="1" t="shared" si="2"/>
      </c>
      <c r="FD2">
        <f ca="1" t="shared" si="2"/>
      </c>
      <c r="FE2">
        <f ca="1" t="shared" si="2"/>
      </c>
      <c r="FF2">
        <f ca="1" t="shared" si="2"/>
      </c>
      <c r="FG2">
        <f ca="1" t="shared" si="2"/>
      </c>
      <c r="FH2">
        <f ca="1" t="shared" si="2"/>
      </c>
      <c r="FI2">
        <f ca="1" t="shared" si="2"/>
      </c>
      <c r="FJ2">
        <f ca="1" t="shared" si="2"/>
      </c>
      <c r="FK2">
        <f ca="1" t="shared" si="2"/>
      </c>
      <c r="FL2">
        <f ca="1" t="shared" si="2"/>
      </c>
      <c r="FM2">
        <f ca="1" t="shared" si="2"/>
      </c>
      <c r="FN2">
        <f ca="1" t="shared" si="2"/>
      </c>
      <c r="FO2">
        <f ca="1" t="shared" si="2"/>
      </c>
      <c r="FP2">
        <f ca="1" t="shared" si="2"/>
      </c>
      <c r="FQ2">
        <f ca="1" t="shared" si="2"/>
      </c>
      <c r="FR2">
        <f ca="1" t="shared" si="2"/>
      </c>
      <c r="FS2">
        <f ca="1" t="shared" si="2"/>
      </c>
      <c r="FT2">
        <f ca="1" t="shared" si="2"/>
      </c>
      <c r="FU2">
        <f ca="1" t="shared" si="2"/>
      </c>
      <c r="FV2">
        <f ca="1" t="shared" si="2"/>
      </c>
      <c r="FW2">
        <f ca="1" t="shared" si="2"/>
      </c>
      <c r="FX2">
        <f ca="1" t="shared" si="2"/>
      </c>
      <c r="FY2">
        <f ca="1" t="shared" si="2"/>
      </c>
      <c r="FZ2">
        <f ca="1" t="shared" si="2"/>
      </c>
      <c r="GA2">
        <f ca="1" t="shared" si="2"/>
      </c>
      <c r="GB2">
        <f ca="1" t="shared" si="2"/>
      </c>
      <c r="GC2">
        <f ca="1" t="shared" si="2"/>
      </c>
      <c r="GD2">
        <f ca="1" t="shared" si="2"/>
      </c>
      <c r="GE2">
        <f ca="1" t="shared" si="2"/>
      </c>
      <c r="GF2">
        <f ca="1" t="shared" si="2"/>
      </c>
      <c r="GG2">
        <f ca="1" t="shared" si="2"/>
      </c>
      <c r="GH2">
        <f ca="1" t="shared" si="2"/>
      </c>
      <c r="GI2">
        <f ca="1" t="shared" si="2"/>
      </c>
      <c r="GJ2">
        <f ca="1" t="shared" si="2"/>
      </c>
      <c r="GK2">
        <f ca="1" t="shared" si="2"/>
      </c>
      <c r="GL2">
        <f ca="1" t="shared" si="2"/>
      </c>
      <c r="GM2">
        <f ca="1" t="shared" si="2"/>
      </c>
      <c r="GN2">
        <f ca="1" t="shared" si="2"/>
      </c>
      <c r="GO2">
        <f ca="1" t="shared" si="2"/>
      </c>
      <c r="GP2">
        <f ca="1" t="shared" si="2"/>
      </c>
      <c r="GQ2">
        <f ca="1" t="shared" si="2"/>
      </c>
      <c r="GR2">
        <f ca="1" t="shared" si="2"/>
      </c>
      <c r="GS2">
        <f ca="1" t="shared" si="2"/>
      </c>
      <c r="GT2">
        <f ca="1" t="shared" si="2"/>
      </c>
      <c r="GU2">
        <f ca="1" t="shared" si="2"/>
      </c>
      <c r="GV2">
        <f ca="1" t="shared" si="2"/>
      </c>
      <c r="GW2">
        <f ca="1" t="shared" si="2"/>
      </c>
      <c r="GX2">
        <f ca="1" t="shared" si="2"/>
      </c>
      <c r="GY2">
        <f ca="1" t="shared" si="2"/>
      </c>
      <c r="GZ2">
        <f ca="1" t="shared" si="2"/>
      </c>
      <c r="HA2">
        <f ca="1" t="shared" si="2"/>
      </c>
      <c r="HB2">
        <f ca="1" t="shared" si="2"/>
      </c>
      <c r="HC2">
        <f ca="1" t="shared" si="2"/>
      </c>
      <c r="HD2">
        <f ca="1" t="shared" si="2"/>
      </c>
      <c r="HE2">
        <f ca="1" t="shared" si="2"/>
      </c>
      <c r="HF2">
        <f ca="1">INDIRECT("I"&amp;HF3)</f>
      </c>
      <c r="HG2">
        <f ca="1">INDIRECT("I"&amp;HG3)</f>
      </c>
      <c r="HH2">
        <f ca="1">INDIRECT("I"&amp;HH3)</f>
      </c>
      <c r="HI2">
        <f ca="1">INDIRECT("I"&amp;HI3)</f>
      </c>
    </row>
    <row r="3" spans="7:217" ht="21.75" customHeight="1">
      <c r="G3" s="51" t="s">
        <v>32</v>
      </c>
      <c r="H3" s="48" t="s">
        <v>164</v>
      </c>
      <c r="J3" s="51" t="s">
        <v>32</v>
      </c>
      <c r="K3" s="48" t="s">
        <v>164</v>
      </c>
      <c r="T3">
        <v>13</v>
      </c>
      <c r="U3">
        <v>14</v>
      </c>
      <c r="V3">
        <v>15</v>
      </c>
      <c r="W3">
        <v>16</v>
      </c>
      <c r="X3">
        <v>17</v>
      </c>
      <c r="Y3">
        <v>18</v>
      </c>
      <c r="Z3">
        <v>19</v>
      </c>
      <c r="AA3">
        <v>20</v>
      </c>
      <c r="AB3">
        <v>21</v>
      </c>
      <c r="AC3">
        <v>22</v>
      </c>
      <c r="AD3">
        <v>23</v>
      </c>
      <c r="AE3">
        <v>24</v>
      </c>
      <c r="AF3">
        <v>25</v>
      </c>
      <c r="AG3">
        <v>26</v>
      </c>
      <c r="AH3">
        <v>27</v>
      </c>
      <c r="AI3">
        <v>28</v>
      </c>
      <c r="AJ3">
        <v>29</v>
      </c>
      <c r="AK3">
        <v>30</v>
      </c>
      <c r="AL3">
        <v>31</v>
      </c>
      <c r="AM3">
        <v>32</v>
      </c>
      <c r="AN3">
        <v>33</v>
      </c>
      <c r="AO3">
        <v>34</v>
      </c>
      <c r="AP3">
        <v>35</v>
      </c>
      <c r="AQ3">
        <v>36</v>
      </c>
      <c r="AR3">
        <v>37</v>
      </c>
      <c r="AS3">
        <v>38</v>
      </c>
      <c r="AT3">
        <v>39</v>
      </c>
      <c r="AU3">
        <v>40</v>
      </c>
      <c r="AV3">
        <v>41</v>
      </c>
      <c r="AW3">
        <v>42</v>
      </c>
      <c r="AX3">
        <v>43</v>
      </c>
      <c r="AY3">
        <v>44</v>
      </c>
      <c r="AZ3">
        <v>45</v>
      </c>
      <c r="BA3">
        <v>46</v>
      </c>
      <c r="BB3">
        <v>47</v>
      </c>
      <c r="BC3">
        <v>48</v>
      </c>
      <c r="BD3">
        <v>49</v>
      </c>
      <c r="BE3">
        <v>50</v>
      </c>
      <c r="BF3">
        <v>51</v>
      </c>
      <c r="BG3">
        <v>52</v>
      </c>
      <c r="BH3">
        <v>53</v>
      </c>
      <c r="BI3">
        <v>54</v>
      </c>
      <c r="BJ3">
        <v>55</v>
      </c>
      <c r="BK3">
        <v>56</v>
      </c>
      <c r="BL3">
        <v>57</v>
      </c>
      <c r="BM3">
        <v>58</v>
      </c>
      <c r="BN3">
        <v>59</v>
      </c>
      <c r="BO3">
        <v>60</v>
      </c>
      <c r="BP3">
        <v>61</v>
      </c>
      <c r="BQ3">
        <v>62</v>
      </c>
      <c r="BR3">
        <v>63</v>
      </c>
      <c r="BS3">
        <v>64</v>
      </c>
      <c r="BT3">
        <v>65</v>
      </c>
      <c r="BU3">
        <v>66</v>
      </c>
      <c r="BV3">
        <v>67</v>
      </c>
      <c r="BW3">
        <v>68</v>
      </c>
      <c r="BX3">
        <v>69</v>
      </c>
      <c r="BY3">
        <v>70</v>
      </c>
      <c r="BZ3">
        <v>71</v>
      </c>
      <c r="CA3">
        <v>72</v>
      </c>
      <c r="CB3">
        <v>73</v>
      </c>
      <c r="CC3">
        <v>74</v>
      </c>
      <c r="CD3">
        <v>75</v>
      </c>
      <c r="CE3">
        <v>76</v>
      </c>
      <c r="CF3">
        <v>77</v>
      </c>
      <c r="CG3">
        <v>78</v>
      </c>
      <c r="CH3">
        <v>79</v>
      </c>
      <c r="CI3">
        <v>80</v>
      </c>
      <c r="CJ3">
        <v>81</v>
      </c>
      <c r="CK3">
        <v>82</v>
      </c>
      <c r="CL3">
        <v>83</v>
      </c>
      <c r="CM3">
        <v>84</v>
      </c>
      <c r="CN3">
        <v>85</v>
      </c>
      <c r="CO3">
        <v>86</v>
      </c>
      <c r="CP3">
        <v>87</v>
      </c>
      <c r="CQ3">
        <v>88</v>
      </c>
      <c r="CR3">
        <v>89</v>
      </c>
      <c r="CS3">
        <v>90</v>
      </c>
      <c r="CT3">
        <v>91</v>
      </c>
      <c r="CU3">
        <v>92</v>
      </c>
      <c r="CV3">
        <v>93</v>
      </c>
      <c r="CW3">
        <v>94</v>
      </c>
      <c r="CX3">
        <v>95</v>
      </c>
      <c r="CY3">
        <v>96</v>
      </c>
      <c r="CZ3">
        <v>97</v>
      </c>
      <c r="DA3">
        <v>98</v>
      </c>
      <c r="DB3">
        <v>99</v>
      </c>
      <c r="DC3">
        <v>100</v>
      </c>
      <c r="DD3">
        <v>101</v>
      </c>
      <c r="DE3">
        <v>102</v>
      </c>
      <c r="DF3">
        <v>103</v>
      </c>
      <c r="DG3">
        <v>104</v>
      </c>
      <c r="DH3">
        <v>105</v>
      </c>
      <c r="DI3">
        <v>106</v>
      </c>
      <c r="DJ3">
        <v>107</v>
      </c>
      <c r="DK3">
        <v>108</v>
      </c>
      <c r="DL3">
        <v>109</v>
      </c>
      <c r="DM3">
        <v>110</v>
      </c>
      <c r="DN3">
        <v>111</v>
      </c>
      <c r="DO3">
        <v>112</v>
      </c>
      <c r="DP3">
        <v>113</v>
      </c>
      <c r="DQ3">
        <v>114</v>
      </c>
      <c r="DR3">
        <v>115</v>
      </c>
      <c r="DS3">
        <v>116</v>
      </c>
      <c r="DT3">
        <v>117</v>
      </c>
      <c r="DU3">
        <v>118</v>
      </c>
      <c r="DV3">
        <v>119</v>
      </c>
      <c r="DW3">
        <v>120</v>
      </c>
      <c r="DX3">
        <v>121</v>
      </c>
      <c r="DY3">
        <v>122</v>
      </c>
      <c r="DZ3">
        <v>123</v>
      </c>
      <c r="EA3">
        <v>124</v>
      </c>
      <c r="EB3">
        <v>125</v>
      </c>
      <c r="EC3">
        <v>126</v>
      </c>
      <c r="ED3">
        <v>127</v>
      </c>
      <c r="EE3">
        <v>128</v>
      </c>
      <c r="EF3">
        <v>129</v>
      </c>
      <c r="EG3">
        <v>130</v>
      </c>
      <c r="EH3">
        <v>131</v>
      </c>
      <c r="EI3">
        <v>132</v>
      </c>
      <c r="EJ3">
        <v>133</v>
      </c>
      <c r="EK3">
        <v>134</v>
      </c>
      <c r="EL3">
        <v>135</v>
      </c>
      <c r="EM3">
        <v>136</v>
      </c>
      <c r="EN3">
        <v>137</v>
      </c>
      <c r="EO3">
        <v>138</v>
      </c>
      <c r="EP3">
        <v>139</v>
      </c>
      <c r="EQ3">
        <v>140</v>
      </c>
      <c r="ER3">
        <v>141</v>
      </c>
      <c r="ES3">
        <v>142</v>
      </c>
      <c r="ET3">
        <v>143</v>
      </c>
      <c r="EU3">
        <v>144</v>
      </c>
      <c r="EV3">
        <v>145</v>
      </c>
      <c r="EW3">
        <v>146</v>
      </c>
      <c r="EX3">
        <v>147</v>
      </c>
      <c r="EY3">
        <v>148</v>
      </c>
      <c r="EZ3">
        <v>149</v>
      </c>
      <c r="FA3">
        <v>150</v>
      </c>
      <c r="FB3">
        <v>151</v>
      </c>
      <c r="FC3">
        <v>152</v>
      </c>
      <c r="FD3">
        <v>153</v>
      </c>
      <c r="FE3">
        <v>154</v>
      </c>
      <c r="FF3">
        <v>155</v>
      </c>
      <c r="FG3">
        <v>156</v>
      </c>
      <c r="FH3">
        <v>157</v>
      </c>
      <c r="FI3">
        <v>158</v>
      </c>
      <c r="FJ3">
        <v>159</v>
      </c>
      <c r="FK3">
        <v>160</v>
      </c>
      <c r="FL3">
        <v>161</v>
      </c>
      <c r="FM3">
        <v>162</v>
      </c>
      <c r="FN3">
        <v>163</v>
      </c>
      <c r="FO3">
        <v>164</v>
      </c>
      <c r="FP3">
        <v>165</v>
      </c>
      <c r="FQ3">
        <v>166</v>
      </c>
      <c r="FR3">
        <v>167</v>
      </c>
      <c r="FS3">
        <v>168</v>
      </c>
      <c r="FT3">
        <v>169</v>
      </c>
      <c r="FU3">
        <v>170</v>
      </c>
      <c r="FV3">
        <v>171</v>
      </c>
      <c r="FW3">
        <v>172</v>
      </c>
      <c r="FX3">
        <v>173</v>
      </c>
      <c r="FY3">
        <v>174</v>
      </c>
      <c r="FZ3">
        <v>175</v>
      </c>
      <c r="GA3">
        <v>176</v>
      </c>
      <c r="GB3">
        <v>177</v>
      </c>
      <c r="GC3">
        <v>178</v>
      </c>
      <c r="GD3">
        <v>179</v>
      </c>
      <c r="GE3">
        <v>180</v>
      </c>
      <c r="GF3">
        <v>181</v>
      </c>
      <c r="GG3">
        <v>182</v>
      </c>
      <c r="GH3">
        <v>183</v>
      </c>
      <c r="GI3">
        <v>184</v>
      </c>
      <c r="GJ3">
        <v>185</v>
      </c>
      <c r="GK3">
        <v>186</v>
      </c>
      <c r="GL3">
        <v>187</v>
      </c>
      <c r="GM3">
        <v>188</v>
      </c>
      <c r="GN3">
        <v>189</v>
      </c>
      <c r="GO3">
        <v>190</v>
      </c>
      <c r="GP3">
        <v>191</v>
      </c>
      <c r="GQ3">
        <v>192</v>
      </c>
      <c r="GR3">
        <v>193</v>
      </c>
      <c r="GS3">
        <v>194</v>
      </c>
      <c r="GT3">
        <v>195</v>
      </c>
      <c r="GU3">
        <v>196</v>
      </c>
      <c r="GV3">
        <v>197</v>
      </c>
      <c r="GW3">
        <v>198</v>
      </c>
      <c r="GX3">
        <v>199</v>
      </c>
      <c r="GY3">
        <v>200</v>
      </c>
      <c r="GZ3">
        <v>201</v>
      </c>
      <c r="HA3">
        <v>202</v>
      </c>
      <c r="HB3">
        <v>203</v>
      </c>
      <c r="HC3">
        <v>204</v>
      </c>
      <c r="HD3">
        <v>205</v>
      </c>
      <c r="HE3">
        <v>206</v>
      </c>
      <c r="HF3">
        <v>207</v>
      </c>
      <c r="HG3">
        <v>208</v>
      </c>
      <c r="HH3">
        <v>209</v>
      </c>
      <c r="HI3">
        <v>210</v>
      </c>
    </row>
    <row r="4" spans="1:11" ht="21.75" customHeight="1">
      <c r="A4" s="13" t="s">
        <v>1</v>
      </c>
      <c r="B4" s="13" t="s">
        <v>2</v>
      </c>
      <c r="C4" s="13" t="s">
        <v>3</v>
      </c>
      <c r="D4" s="14" t="s">
        <v>52</v>
      </c>
      <c r="G4" s="51" t="s">
        <v>33</v>
      </c>
      <c r="H4" s="48" t="s">
        <v>76</v>
      </c>
      <c r="J4" s="51" t="s">
        <v>33</v>
      </c>
      <c r="K4" s="48" t="s">
        <v>167</v>
      </c>
    </row>
    <row r="5" spans="1:11" ht="21.75" customHeight="1">
      <c r="A5" s="44" t="str">
        <f>VLOOKUP($A$2,Auto,2,0)</f>
        <v>Mercedes_Benz</v>
      </c>
      <c r="B5" s="44" t="str">
        <f>VLOOKUP($A$2,Auto,3,0)</f>
        <v>S 500</v>
      </c>
      <c r="C5" s="44">
        <f>VLOOKUP($A$2,Auto,4,0)</f>
      </c>
      <c r="D5" s="56">
        <f>VLOOKUP($A$2,Auto,6,0)</f>
      </c>
      <c r="G5" s="51" t="s">
        <v>34</v>
      </c>
      <c r="H5" s="48" t="s">
        <v>165</v>
      </c>
      <c r="J5" s="51" t="s">
        <v>34</v>
      </c>
      <c r="K5" s="48" t="s">
        <v>169</v>
      </c>
    </row>
    <row r="6" spans="1:4" ht="21.75" customHeight="1">
      <c r="A6" s="13" t="s">
        <v>16</v>
      </c>
      <c r="B6" s="70">
        <f>VLOOKUP($A$2,Auto,8,0)</f>
      </c>
      <c r="C6" s="13" t="s">
        <v>6</v>
      </c>
      <c r="D6" s="64">
        <f>VLOOKUP($A$2,Auto,9,0)</f>
      </c>
    </row>
    <row r="7" spans="1:11" ht="21.75" customHeight="1" thickBot="1">
      <c r="A7" s="82"/>
      <c r="B7" s="46"/>
      <c r="C7" s="46"/>
      <c r="D7" s="46"/>
      <c r="E7" s="46"/>
      <c r="J7" s="51" t="s">
        <v>35</v>
      </c>
      <c r="K7" s="48" t="s">
        <v>170</v>
      </c>
    </row>
    <row r="8" spans="1:11" ht="21.75" customHeight="1" thickTop="1">
      <c r="A8" s="13" t="s">
        <v>161</v>
      </c>
      <c r="B8" s="13" t="s">
        <v>162</v>
      </c>
      <c r="C8" s="13" t="s">
        <v>74</v>
      </c>
      <c r="D8" s="102" t="s">
        <v>788</v>
      </c>
      <c r="E8" s="14" t="s">
        <v>787</v>
      </c>
      <c r="J8" s="51" t="s">
        <v>36</v>
      </c>
      <c r="K8" s="71" t="s">
        <v>761</v>
      </c>
    </row>
    <row r="9" spans="1:20" ht="21.75" customHeight="1">
      <c r="A9" s="93">
        <f>IF(ISERROR(T9),"",INDEX(Sob!A:A,'Где автомобиль'!$T9))</f>
        <v>39998.534941550926</v>
      </c>
      <c r="B9" s="44" t="str">
        <f>IF(ISERROR(T9),"",INDEX(Sob!D:D,'Где автомобиль'!$T9))</f>
        <v>Приемка</v>
      </c>
      <c r="C9" s="56">
        <f aca="true" t="shared" si="3" ref="C9:C18">IF(OR(B9="Ремонт",B9="Запчасти"),VLOOKUP(A9,Sob,6,0),"")</f>
      </c>
      <c r="D9" s="91">
        <f>IF(ISERROR(T9),"",INDEX(Sob!H:H,'Где автомобиль'!$T9))</f>
        <v>0</v>
      </c>
      <c r="E9" s="106"/>
      <c r="J9" s="51" t="s">
        <v>37</v>
      </c>
      <c r="K9" s="71" t="s">
        <v>748</v>
      </c>
      <c r="T9">
        <f>MATCH(Q2,Sob!C:C,0)</f>
        <v>2</v>
      </c>
    </row>
    <row r="10" spans="1:20" ht="21.75" customHeight="1">
      <c r="A10" s="93">
        <f>IF(ISERROR(T10),"",INDEX(Sob!A:A,'Где автомобиль'!$T10))</f>
        <v>39998.53511296296</v>
      </c>
      <c r="B10" s="88" t="str">
        <f>IF(ISERROR(T10),"",INDEX(Sob!D:D,'Где автомобиль'!$T10))</f>
        <v>Запчасти</v>
      </c>
      <c r="C10" s="73" t="str">
        <f t="shared" si="3"/>
        <v>клиент</v>
      </c>
      <c r="D10" s="91">
        <f>IF(ISERROR(T10),"",INDEX(Sob!H:H,'Где автомобиль'!$T10))</f>
        <v>0</v>
      </c>
      <c r="E10" s="106"/>
      <c r="T10">
        <f aca="true" ca="1" t="shared" si="4" ref="T10:T18">MATCH($Q$2,INDIRECT("sob!c"&amp;T9+1&amp;":c1000"),0)+T9</f>
        <v>3</v>
      </c>
    </row>
    <row r="11" spans="1:20" ht="21.75" customHeight="1" thickBot="1">
      <c r="A11" s="93">
        <f>IF(ISERROR(T11),"",INDEX(Sob!A:A,'Где автомобиль'!$T11))</f>
        <v>39998.53526851852</v>
      </c>
      <c r="B11" s="88" t="str">
        <f>IF(ISERROR(T11),"",INDEX(Sob!D:D,'Где автомобиль'!$T11))</f>
        <v>Запчасти</v>
      </c>
      <c r="C11" s="73" t="str">
        <f>IF(OR(B11="Ремонт",B11="Запчасти"),INDEX(Sob!F:F,'Где автомобиль'!$T11),"")</f>
        <v>клиент</v>
      </c>
      <c r="D11" s="91">
        <f>IF(ISERROR(T11),"",INDEX(Sob!H:H,'Где автомобиль'!$T11))</f>
        <v>0</v>
      </c>
      <c r="E11" s="106"/>
      <c r="G11" s="113" t="s">
        <v>156</v>
      </c>
      <c r="H11" s="113"/>
      <c r="I11" s="113"/>
      <c r="J11" s="113"/>
      <c r="K11" s="113"/>
      <c r="L11" s="46">
        <f>DCOUNTA(Sob,P1,P1:P2)</f>
        <v>2</v>
      </c>
      <c r="M11" s="46" t="s">
        <v>157</v>
      </c>
      <c r="N11" s="46"/>
      <c r="O11" s="46"/>
      <c r="T11">
        <f ca="1" t="shared" si="4"/>
        <v>4</v>
      </c>
    </row>
    <row r="12" spans="1:20" ht="24.75" thickTop="1">
      <c r="A12" s="93">
        <f>IF(ISERROR(T12),"",INDEX(Sob!A:A,'Где автомобиль'!$T12))</f>
        <v>39998.53543819444</v>
      </c>
      <c r="B12" s="88" t="str">
        <f>IF(ISERROR(T12),"",INDEX(Sob!D:D,'Где автомобиль'!$T12))</f>
        <v>Ремонт</v>
      </c>
      <c r="C12" s="73">
        <f t="shared" si="3"/>
        <v>1</v>
      </c>
      <c r="D12" s="91">
        <f>IF(ISERROR(T12),"",INDEX(Sob!H:H,'Где автомобиль'!$T12))</f>
        <v>0</v>
      </c>
      <c r="E12" s="106"/>
      <c r="G12" s="96" t="s">
        <v>20</v>
      </c>
      <c r="H12" s="99" t="s">
        <v>19</v>
      </c>
      <c r="I12" s="100" t="s">
        <v>0</v>
      </c>
      <c r="J12" s="97" t="s">
        <v>159</v>
      </c>
      <c r="K12" s="101" t="s">
        <v>1</v>
      </c>
      <c r="L12" s="101" t="s">
        <v>2</v>
      </c>
      <c r="M12" s="100" t="s">
        <v>158</v>
      </c>
      <c r="N12" s="101" t="s">
        <v>74</v>
      </c>
      <c r="O12" s="98" t="s">
        <v>786</v>
      </c>
      <c r="T12">
        <f ca="1" t="shared" si="4"/>
        <v>5</v>
      </c>
    </row>
    <row r="13" spans="1:20" ht="21.75" customHeight="1">
      <c r="A13" s="55">
        <f>IF(ISERROR(T13),"",INDEX(Sob!A:A,'Где автомобиль'!$T13))</f>
      </c>
      <c r="B13" s="88">
        <f>IF(ISERROR(T13),"",INDEX(Sob!D:D,'Где автомобиль'!$T13))</f>
      </c>
      <c r="C13" s="73">
        <f t="shared" si="3"/>
      </c>
      <c r="D13" s="91">
        <f>IF(ISERROR(T13),"",INDEX(Sob!H:H,'Где автомобиль'!$T13))</f>
      </c>
      <c r="E13" s="106"/>
      <c r="F13">
        <v>1</v>
      </c>
      <c r="G13" s="40">
        <f>IF(ISERROR(R13),"",INDEX(Sob!A:A,'Где автомобиль'!$R13))</f>
        <v>39998.534941550926</v>
      </c>
      <c r="H13" s="41" t="str">
        <f>IF(ISERROR(R13),"",INDEX(Sob!B:B,'Где автомобиль'!$R13))</f>
        <v>17-04-07-09</v>
      </c>
      <c r="I13" s="41" t="str">
        <f>IF(ISERROR(R13),"",INDEX(Sob!C:C,'Где автомобиль'!$R13))</f>
        <v>О343РС43</v>
      </c>
      <c r="J13" s="40">
        <f aca="true" ca="1" t="shared" si="5" ref="J13:J44">IF(ISERROR(R13),"",DMAX(Sob,1,INDIRECT("R1C"&amp;F13+19&amp;":R2C"&amp;F13+19,0)))</f>
        <v>39998.53543819444</v>
      </c>
      <c r="K13" s="61" t="str">
        <f aca="true" t="shared" si="6" ref="K13:K44">IF(ISERROR(R13),"",VLOOKUP(I13,Auto,2,0))</f>
        <v>Mercedes_Benz</v>
      </c>
      <c r="L13" s="61" t="str">
        <f aca="true" t="shared" si="7" ref="L13:L44">IF(ISERROR(R13),"",VLOOKUP(I13,Auto,3,0))</f>
        <v>S 500</v>
      </c>
      <c r="M13" s="41" t="str">
        <f aca="true" t="shared" si="8" ref="M13:M44">IF(ISERROR(R13),"",VLOOKUP(J13,Sob,4,0))</f>
        <v>Ремонт</v>
      </c>
      <c r="N13" s="79">
        <f aca="true" t="shared" si="9" ref="N13:N44">IF(ISERROR(R13),"",VLOOKUP(J13,Sob,6,0))</f>
        <v>1</v>
      </c>
      <c r="O13" s="91">
        <f aca="true" t="shared" si="10" ref="O13:O44">IF(ISERROR(R13),"",VLOOKUP(J13,Sob,8,0))</f>
        <v>0</v>
      </c>
      <c r="R13">
        <f>MATCH(P2,Sob!D1:D828,0)</f>
        <v>2</v>
      </c>
      <c r="T13" t="e">
        <f ca="1" t="shared" si="4"/>
        <v>#N/A</v>
      </c>
    </row>
    <row r="14" spans="1:20" ht="21.75" customHeight="1">
      <c r="A14" s="55">
        <f>IF(ISERROR(T14),"",INDEX(Sob!A:A,'Где автомобиль'!$T14))</f>
      </c>
      <c r="B14" s="88">
        <f>IF(ISERROR(T14),"",INDEX(Sob!D:D,'Где автомобиль'!$T14))</f>
      </c>
      <c r="C14" s="73">
        <f t="shared" si="3"/>
      </c>
      <c r="D14" s="91">
        <f>IF(ISERROR(T14),"",INDEX(Sob!H:H,'Где автомобиль'!$T14))</f>
      </c>
      <c r="F14">
        <v>2</v>
      </c>
      <c r="G14" s="40">
        <f>IF(ISERROR(R14),"",INDEX(Sob!A:A,'Где автомобиль'!$R14))</f>
        <v>39998.53607037037</v>
      </c>
      <c r="H14" s="41" t="str">
        <f>IF(ISERROR(R14),"",INDEX(Sob!B:B,'Где автомобиль'!$R14))</f>
        <v>18-04-07-09</v>
      </c>
      <c r="I14" s="41" t="str">
        <f>IF(ISERROR(R14),"",INDEX(Sob!C:C,'Где автомобиль'!$R14))</f>
        <v>Р332ОР32</v>
      </c>
      <c r="J14" s="91">
        <f ca="1" t="shared" si="5"/>
        <v>39998.53717210648</v>
      </c>
      <c r="K14" s="61" t="str">
        <f t="shared" si="6"/>
        <v>Bentley</v>
      </c>
      <c r="L14" s="61" t="str">
        <f t="shared" si="7"/>
        <v>Mulsanne</v>
      </c>
      <c r="M14" s="41" t="str">
        <f t="shared" si="8"/>
        <v>Ремонт</v>
      </c>
      <c r="N14" s="79">
        <f t="shared" si="9"/>
        <v>1</v>
      </c>
      <c r="O14" s="91">
        <f t="shared" si="10"/>
        <v>0</v>
      </c>
      <c r="R14">
        <f aca="true" ca="1" t="shared" si="11" ref="R14:R45">MATCH($P$2,INDIRECT("sob!d"&amp;R13+1&amp;":d1000"),0)+R13</f>
        <v>6</v>
      </c>
      <c r="T14" t="e">
        <f ca="1" t="shared" si="4"/>
        <v>#N/A</v>
      </c>
    </row>
    <row r="15" spans="1:20" ht="21.75" customHeight="1">
      <c r="A15" s="74">
        <f>IF(ISERROR(T15),"",INDEX(Sob!A:A,'Где автомобиль'!$T15))</f>
      </c>
      <c r="B15" s="88">
        <f>IF(ISERROR(T15),"",INDEX(Sob!D:D,'Где автомобиль'!$T15))</f>
      </c>
      <c r="C15" s="64">
        <f t="shared" si="3"/>
      </c>
      <c r="D15" s="91">
        <f>IF(ISERROR(T15),"",INDEX(Sob!H:H,'Где автомобиль'!$T15))</f>
      </c>
      <c r="F15">
        <v>3</v>
      </c>
      <c r="G15" s="40">
        <f>IF(ISERROR(R15),"",INDEX(Sob!A:A,'Где автомобиль'!$R15))</f>
      </c>
      <c r="H15" s="41">
        <f>IF(ISERROR(R15),"",INDEX(Sob!B:B,'Где автомобиль'!$R15))</f>
      </c>
      <c r="I15" s="41">
        <f>IF(ISERROR(R15),"",INDEX(Sob!C:C,'Где автомобиль'!$R15))</f>
      </c>
      <c r="J15" s="91">
        <f ca="1" t="shared" si="5"/>
      </c>
      <c r="K15" s="61">
        <f t="shared" si="6"/>
      </c>
      <c r="L15" s="61">
        <f t="shared" si="7"/>
      </c>
      <c r="M15" s="41">
        <f t="shared" si="8"/>
      </c>
      <c r="N15" s="79">
        <f t="shared" si="9"/>
      </c>
      <c r="O15" s="91">
        <f t="shared" si="10"/>
      </c>
      <c r="R15" t="e">
        <f ca="1" t="shared" si="11"/>
        <v>#N/A</v>
      </c>
      <c r="T15" t="e">
        <f ca="1" t="shared" si="4"/>
        <v>#N/A</v>
      </c>
    </row>
    <row r="16" spans="1:20" ht="21.75" customHeight="1">
      <c r="A16" s="74">
        <f>IF(ISERROR(T16),"",INDEX(Sob!A:A,'Где автомобиль'!$T16))</f>
      </c>
      <c r="B16" s="88">
        <f>IF(ISERROR(T16),"",INDEX(Sob!D:D,'Где автомобиль'!$T16))</f>
      </c>
      <c r="C16" s="64">
        <f t="shared" si="3"/>
      </c>
      <c r="D16" s="91">
        <f>IF(ISERROR(T16),"",INDEX(Sob!H:H,'Где автомобиль'!$T16))</f>
      </c>
      <c r="F16">
        <v>4</v>
      </c>
      <c r="G16" s="40">
        <f>IF(ISERROR(R16),"",INDEX(Sob!A:A,'Где автомобиль'!$R16))</f>
      </c>
      <c r="H16" s="41">
        <f>IF(ISERROR(R16),"",INDEX(Sob!B:B,'Где автомобиль'!$R16))</f>
      </c>
      <c r="I16" s="41">
        <f>IF(ISERROR(R16),"",INDEX(Sob!C:C,'Где автомобиль'!$R16))</f>
      </c>
      <c r="J16" s="91">
        <f ca="1" t="shared" si="5"/>
      </c>
      <c r="K16" s="61">
        <f t="shared" si="6"/>
      </c>
      <c r="L16" s="61">
        <f t="shared" si="7"/>
      </c>
      <c r="M16" s="41">
        <f t="shared" si="8"/>
      </c>
      <c r="N16" s="79">
        <f t="shared" si="9"/>
      </c>
      <c r="O16" s="91">
        <f t="shared" si="10"/>
      </c>
      <c r="R16" t="e">
        <f ca="1" t="shared" si="11"/>
        <v>#N/A</v>
      </c>
      <c r="T16" t="e">
        <f ca="1" t="shared" si="4"/>
        <v>#N/A</v>
      </c>
    </row>
    <row r="17" spans="1:20" ht="21.75" customHeight="1">
      <c r="A17" s="74">
        <f>IF(ISERROR(T17),"",INDEX(Sob!A:A,'Где автомобиль'!$T17))</f>
      </c>
      <c r="B17" s="88">
        <f>IF(ISERROR(T17),"",INDEX(Sob!D:D,'Где автомобиль'!$T17))</f>
      </c>
      <c r="C17" s="64">
        <f t="shared" si="3"/>
      </c>
      <c r="D17" s="91">
        <f>IF(ISERROR(T17),"",INDEX(Sob!H:H,'Где автомобиль'!$T17))</f>
      </c>
      <c r="F17">
        <v>5</v>
      </c>
      <c r="G17" s="40">
        <f>IF(ISERROR(R17),"",INDEX(Sob!A:A,'Где автомобиль'!$R17))</f>
      </c>
      <c r="H17" s="41">
        <f>IF(ISERROR(R17),"",INDEX(Sob!B:B,'Где автомобиль'!$R17))</f>
      </c>
      <c r="I17" s="41">
        <f>IF(ISERROR(R17),"",INDEX(Sob!C:C,'Где автомобиль'!$R17))</f>
      </c>
      <c r="J17" s="91">
        <f ca="1" t="shared" si="5"/>
      </c>
      <c r="K17" s="61">
        <f t="shared" si="6"/>
      </c>
      <c r="L17" s="61">
        <f t="shared" si="7"/>
      </c>
      <c r="M17" s="41">
        <f t="shared" si="8"/>
      </c>
      <c r="N17" s="79">
        <f t="shared" si="9"/>
      </c>
      <c r="O17" s="91">
        <f t="shared" si="10"/>
      </c>
      <c r="R17" t="e">
        <f ca="1" t="shared" si="11"/>
        <v>#N/A</v>
      </c>
      <c r="T17" t="e">
        <f ca="1" t="shared" si="4"/>
        <v>#N/A</v>
      </c>
    </row>
    <row r="18" spans="1:20" ht="21.75" customHeight="1">
      <c r="A18" s="74">
        <f>IF(ISERROR(T18),"",INDEX(Sob!A:A,'Где автомобиль'!$T18))</f>
      </c>
      <c r="B18" s="88">
        <f>IF(ISERROR(T18),"",INDEX(Sob!D:D,'Где автомобиль'!$T18))</f>
      </c>
      <c r="C18" s="64">
        <f t="shared" si="3"/>
      </c>
      <c r="D18" s="91">
        <f>IF(ISERROR(T18),"",INDEX(Sob!H:H,'Где автомобиль'!$T18))</f>
      </c>
      <c r="F18">
        <v>6</v>
      </c>
      <c r="G18" s="40">
        <f>IF(ISERROR(R18),"",INDEX(Sob!A:A,'Где автомобиль'!$R18))</f>
      </c>
      <c r="H18" s="41">
        <f>IF(ISERROR(R18),"",INDEX(Sob!B:B,'Где автомобиль'!$R18))</f>
      </c>
      <c r="I18" s="41">
        <f>IF(ISERROR(R18),"",INDEX(Sob!C:C,'Где автомобиль'!$R18))</f>
      </c>
      <c r="J18" s="91">
        <f ca="1" t="shared" si="5"/>
      </c>
      <c r="K18" s="61">
        <f t="shared" si="6"/>
      </c>
      <c r="L18" s="61">
        <f t="shared" si="7"/>
      </c>
      <c r="M18" s="41">
        <f t="shared" si="8"/>
      </c>
      <c r="N18" s="79">
        <f t="shared" si="9"/>
      </c>
      <c r="O18" s="91">
        <f t="shared" si="10"/>
      </c>
      <c r="Q18">
        <f>DMAX(Sob,1,P19:Q20)</f>
        <v>39998.53526851852</v>
      </c>
      <c r="R18" t="e">
        <f ca="1" t="shared" si="11"/>
        <v>#N/A</v>
      </c>
      <c r="T18" t="e">
        <f ca="1" t="shared" si="4"/>
        <v>#N/A</v>
      </c>
    </row>
    <row r="19" spans="1:18" ht="21.75" customHeight="1" thickBot="1">
      <c r="A19" s="46" t="s">
        <v>152</v>
      </c>
      <c r="B19" s="46"/>
      <c r="C19" s="46" t="s">
        <v>747</v>
      </c>
      <c r="D19" s="46"/>
      <c r="F19">
        <v>7</v>
      </c>
      <c r="G19" s="40">
        <f>IF(ISERROR(R19),"",INDEX(Sob!A:A,'Где автомобиль'!$R19))</f>
      </c>
      <c r="H19" s="41">
        <f>IF(ISERROR(R19),"",INDEX(Sob!B:B,'Где автомобиль'!$R19))</f>
      </c>
      <c r="I19" s="41">
        <f>IF(ISERROR(R19),"",INDEX(Sob!C:C,'Где автомобиль'!$R19))</f>
      </c>
      <c r="J19" s="91">
        <f ca="1" t="shared" si="5"/>
      </c>
      <c r="K19" s="61">
        <f t="shared" si="6"/>
      </c>
      <c r="L19" s="61">
        <f t="shared" si="7"/>
      </c>
      <c r="M19" s="41">
        <f t="shared" si="8"/>
      </c>
      <c r="N19" s="79">
        <f t="shared" si="9"/>
      </c>
      <c r="O19" s="91">
        <f t="shared" si="10"/>
      </c>
      <c r="P19" s="3" t="s">
        <v>0</v>
      </c>
      <c r="Q19" s="3" t="s">
        <v>8</v>
      </c>
      <c r="R19" t="e">
        <f ca="1" t="shared" si="11"/>
        <v>#N/A</v>
      </c>
    </row>
    <row r="20" spans="1:18" ht="21.75" customHeight="1" thickTop="1">
      <c r="A20" s="13" t="s">
        <v>51</v>
      </c>
      <c r="B20" s="81">
        <v>39998.53511296296</v>
      </c>
      <c r="C20" s="115" t="str">
        <f>IF(ISERROR(VLOOKUP(Q23,Sob,7,0)),"",VLOOKUP(Q23,Sob,7,0))</f>
        <v>Поломка 1
Поломка 2
</v>
      </c>
      <c r="D20" s="116"/>
      <c r="F20">
        <v>8</v>
      </c>
      <c r="G20" s="40">
        <f>IF(ISERROR(R20),"",INDEX(Sob!A:A,'Где автомобиль'!$R20))</f>
      </c>
      <c r="H20" s="41">
        <f>IF(ISERROR(R20),"",INDEX(Sob!B:B,'Где автомобиль'!$R20))</f>
      </c>
      <c r="I20" s="41">
        <f>IF(ISERROR(R20),"",INDEX(Sob!C:C,'Где автомобиль'!$R20))</f>
      </c>
      <c r="J20" s="91">
        <f ca="1" t="shared" si="5"/>
      </c>
      <c r="K20" s="61">
        <f t="shared" si="6"/>
      </c>
      <c r="L20" s="61">
        <f t="shared" si="7"/>
      </c>
      <c r="M20" s="41">
        <f t="shared" si="8"/>
      </c>
      <c r="N20" s="79">
        <f t="shared" si="9"/>
      </c>
      <c r="O20" s="91">
        <f t="shared" si="10"/>
      </c>
      <c r="P20" t="str">
        <f>A2</f>
        <v>О343РС43</v>
      </c>
      <c r="Q20" t="s">
        <v>152</v>
      </c>
      <c r="R20" t="e">
        <f ca="1" t="shared" si="11"/>
        <v>#N/A</v>
      </c>
    </row>
    <row r="21" spans="1:18" ht="21.75" customHeight="1">
      <c r="A21" s="107" t="s">
        <v>793</v>
      </c>
      <c r="B21" s="108"/>
      <c r="C21" s="117"/>
      <c r="D21" s="118"/>
      <c r="F21">
        <v>9</v>
      </c>
      <c r="G21" s="40">
        <f>IF(ISERROR(R21),"",INDEX(Sob!A:A,'Где автомобиль'!$R21))</f>
      </c>
      <c r="H21" s="41">
        <f>IF(ISERROR(R21),"",INDEX(Sob!B:B,'Где автомобиль'!$R21))</f>
      </c>
      <c r="I21" s="41">
        <f>IF(ISERROR(R21),"",INDEX(Sob!C:C,'Где автомобиль'!$R21))</f>
      </c>
      <c r="J21" s="91">
        <f ca="1" t="shared" si="5"/>
      </c>
      <c r="K21" s="61">
        <f t="shared" si="6"/>
      </c>
      <c r="L21" s="61">
        <f t="shared" si="7"/>
      </c>
      <c r="M21" s="41">
        <f t="shared" si="8"/>
      </c>
      <c r="N21" s="79">
        <f t="shared" si="9"/>
      </c>
      <c r="O21" s="91">
        <f t="shared" si="10"/>
      </c>
      <c r="P21" s="3" t="s">
        <v>0</v>
      </c>
      <c r="Q21" s="3" t="s">
        <v>8</v>
      </c>
      <c r="R21" t="e">
        <f ca="1" t="shared" si="11"/>
        <v>#N/A</v>
      </c>
    </row>
    <row r="22" spans="1:18" ht="21.75" customHeight="1">
      <c r="A22" s="109"/>
      <c r="B22" s="110"/>
      <c r="C22" s="117"/>
      <c r="D22" s="118"/>
      <c r="F22">
        <v>10</v>
      </c>
      <c r="G22" s="40">
        <f>IF(ISERROR(R22),"",INDEX(Sob!A:A,'Где автомобиль'!$R22))</f>
      </c>
      <c r="H22" s="41">
        <f>IF(ISERROR(R22),"",INDEX(Sob!B:B,'Где автомобиль'!$R22))</f>
      </c>
      <c r="I22" s="41">
        <f>IF(ISERROR(R22),"",INDEX(Sob!C:C,'Где автомобиль'!$R22))</f>
      </c>
      <c r="J22" s="91">
        <f ca="1" t="shared" si="5"/>
      </c>
      <c r="K22" s="61">
        <f t="shared" si="6"/>
      </c>
      <c r="L22" s="61">
        <f t="shared" si="7"/>
      </c>
      <c r="M22" s="41">
        <f t="shared" si="8"/>
      </c>
      <c r="N22" s="79">
        <f t="shared" si="9"/>
      </c>
      <c r="O22" s="91">
        <f t="shared" si="10"/>
      </c>
      <c r="P22" t="str">
        <f>A2</f>
        <v>О343РС43</v>
      </c>
      <c r="Q22" t="s">
        <v>12</v>
      </c>
      <c r="R22" t="e">
        <f ca="1" t="shared" si="11"/>
        <v>#N/A</v>
      </c>
    </row>
    <row r="23" spans="1:18" ht="21.75" customHeight="1">
      <c r="A23" s="109"/>
      <c r="B23" s="110"/>
      <c r="C23" s="117"/>
      <c r="D23" s="118"/>
      <c r="F23">
        <v>11</v>
      </c>
      <c r="G23" s="40">
        <f>IF(ISERROR(R23),"",INDEX(Sob!A:A,'Где автомобиль'!$R23))</f>
      </c>
      <c r="H23" s="41">
        <f>IF(ISERROR(R23),"",INDEX(Sob!B:B,'Где автомобиль'!$R23))</f>
      </c>
      <c r="I23" s="41">
        <f>IF(ISERROR(R23),"",INDEX(Sob!C:C,'Где автомобиль'!$R23))</f>
      </c>
      <c r="J23" s="91">
        <f ca="1" t="shared" si="5"/>
      </c>
      <c r="K23" s="61">
        <f t="shared" si="6"/>
      </c>
      <c r="L23" s="61">
        <f t="shared" si="7"/>
      </c>
      <c r="M23" s="41">
        <f t="shared" si="8"/>
      </c>
      <c r="N23" s="79">
        <f t="shared" si="9"/>
      </c>
      <c r="O23" s="91">
        <f t="shared" si="10"/>
      </c>
      <c r="Q23">
        <f>DMAX(Sob,1,P21:Q22)</f>
        <v>39998.53543819444</v>
      </c>
      <c r="R23" t="e">
        <f ca="1" t="shared" si="11"/>
        <v>#N/A</v>
      </c>
    </row>
    <row r="24" spans="1:18" ht="21.75" customHeight="1">
      <c r="A24" s="109"/>
      <c r="B24" s="110"/>
      <c r="C24" s="117"/>
      <c r="D24" s="118"/>
      <c r="F24">
        <v>12</v>
      </c>
      <c r="G24" s="40">
        <f>IF(ISERROR(R24),"",INDEX(Sob!A:A,'Где автомобиль'!$R24))</f>
      </c>
      <c r="H24" s="41">
        <f>IF(ISERROR(R24),"",INDEX(Sob!B:B,'Где автомобиль'!$R24))</f>
      </c>
      <c r="I24" s="41">
        <f>IF(ISERROR(R24),"",INDEX(Sob!C:C,'Где автомобиль'!$R24))</f>
      </c>
      <c r="J24" s="91">
        <f ca="1" t="shared" si="5"/>
      </c>
      <c r="K24" s="61">
        <f t="shared" si="6"/>
      </c>
      <c r="L24" s="61">
        <f t="shared" si="7"/>
      </c>
      <c r="M24" s="41">
        <f t="shared" si="8"/>
      </c>
      <c r="N24" s="79">
        <f t="shared" si="9"/>
      </c>
      <c r="O24" s="91">
        <f t="shared" si="10"/>
      </c>
      <c r="R24" t="e">
        <f ca="1" t="shared" si="11"/>
        <v>#N/A</v>
      </c>
    </row>
    <row r="25" spans="1:18" ht="21.75" customHeight="1">
      <c r="A25" s="111"/>
      <c r="B25" s="112"/>
      <c r="C25" s="117"/>
      <c r="D25" s="118"/>
      <c r="F25">
        <v>13</v>
      </c>
      <c r="G25" s="40">
        <f>IF(ISERROR(R25),"",INDEX(Sob!A:A,'Где автомобиль'!$R25))</f>
      </c>
      <c r="H25" s="41">
        <f>IF(ISERROR(R25),"",INDEX(Sob!B:B,'Где автомобиль'!$R25))</f>
      </c>
      <c r="I25" s="41">
        <f>IF(ISERROR(R25),"",INDEX(Sob!C:C,'Где автомобиль'!$R25))</f>
      </c>
      <c r="J25" s="91">
        <f ca="1" t="shared" si="5"/>
      </c>
      <c r="K25" s="61">
        <f t="shared" si="6"/>
      </c>
      <c r="L25" s="61">
        <f t="shared" si="7"/>
      </c>
      <c r="M25" s="41">
        <f t="shared" si="8"/>
      </c>
      <c r="N25" s="79">
        <f t="shared" si="9"/>
      </c>
      <c r="O25" s="91">
        <f t="shared" si="10"/>
      </c>
      <c r="R25" t="e">
        <f ca="1" t="shared" si="11"/>
        <v>#N/A</v>
      </c>
    </row>
    <row r="26" spans="1:18" ht="21.75" customHeight="1">
      <c r="A26" s="83" t="s">
        <v>51</v>
      </c>
      <c r="B26" s="81">
        <v>39998.53526851852</v>
      </c>
      <c r="C26" s="117"/>
      <c r="D26" s="118"/>
      <c r="F26">
        <v>14</v>
      </c>
      <c r="G26" s="40">
        <f>IF(ISERROR(R26),"",INDEX(Sob!A:A,'Где автомобиль'!$R26))</f>
      </c>
      <c r="H26" s="41">
        <f>IF(ISERROR(R26),"",INDEX(Sob!B:B,'Где автомобиль'!$R26))</f>
      </c>
      <c r="I26" s="41">
        <f>IF(ISERROR(R26),"",INDEX(Sob!C:C,'Где автомобиль'!$R26))</f>
      </c>
      <c r="J26" s="91">
        <f ca="1" t="shared" si="5"/>
      </c>
      <c r="K26" s="61">
        <f t="shared" si="6"/>
      </c>
      <c r="L26" s="61">
        <f t="shared" si="7"/>
      </c>
      <c r="M26" s="41">
        <f t="shared" si="8"/>
      </c>
      <c r="N26" s="79">
        <f t="shared" si="9"/>
      </c>
      <c r="O26" s="91">
        <f t="shared" si="10"/>
      </c>
      <c r="R26" t="e">
        <f ca="1" t="shared" si="11"/>
        <v>#N/A</v>
      </c>
    </row>
    <row r="27" spans="1:18" ht="21.75" customHeight="1">
      <c r="A27" s="107" t="s">
        <v>794</v>
      </c>
      <c r="B27" s="108"/>
      <c r="C27" s="117"/>
      <c r="D27" s="118"/>
      <c r="F27">
        <v>15</v>
      </c>
      <c r="G27" s="40">
        <f>IF(ISERROR(R27),"",INDEX(Sob!A:A,'Где автомобиль'!$R27))</f>
      </c>
      <c r="H27" s="41">
        <f>IF(ISERROR(R27),"",INDEX(Sob!B:B,'Где автомобиль'!$R27))</f>
      </c>
      <c r="I27" s="41">
        <f>IF(ISERROR(R27),"",INDEX(Sob!C:C,'Где автомобиль'!$R27))</f>
      </c>
      <c r="J27" s="91">
        <f ca="1" t="shared" si="5"/>
      </c>
      <c r="K27" s="61">
        <f t="shared" si="6"/>
      </c>
      <c r="L27" s="61">
        <f t="shared" si="7"/>
      </c>
      <c r="M27" s="41">
        <f t="shared" si="8"/>
      </c>
      <c r="N27" s="79">
        <f t="shared" si="9"/>
      </c>
      <c r="O27" s="91">
        <f t="shared" si="10"/>
      </c>
      <c r="R27" t="e">
        <f ca="1" t="shared" si="11"/>
        <v>#N/A</v>
      </c>
    </row>
    <row r="28" spans="1:18" ht="21.75" customHeight="1">
      <c r="A28" s="109"/>
      <c r="B28" s="110"/>
      <c r="C28" s="117"/>
      <c r="D28" s="118"/>
      <c r="F28">
        <v>16</v>
      </c>
      <c r="G28" s="40">
        <f>IF(ISERROR(R28),"",INDEX(Sob!A:A,'Где автомобиль'!$R28))</f>
      </c>
      <c r="H28" s="41">
        <f>IF(ISERROR(R28),"",INDEX(Sob!B:B,'Где автомобиль'!$R28))</f>
      </c>
      <c r="I28" s="41">
        <f>IF(ISERROR(R28),"",INDEX(Sob!C:C,'Где автомобиль'!$R28))</f>
      </c>
      <c r="J28" s="91">
        <f ca="1" t="shared" si="5"/>
      </c>
      <c r="K28" s="61">
        <f t="shared" si="6"/>
      </c>
      <c r="L28" s="61">
        <f t="shared" si="7"/>
      </c>
      <c r="M28" s="41">
        <f t="shared" si="8"/>
      </c>
      <c r="N28" s="79">
        <f t="shared" si="9"/>
      </c>
      <c r="O28" s="91">
        <f t="shared" si="10"/>
      </c>
      <c r="R28" t="e">
        <f ca="1" t="shared" si="11"/>
        <v>#N/A</v>
      </c>
    </row>
    <row r="29" spans="1:18" ht="21.75" customHeight="1">
      <c r="A29" s="109"/>
      <c r="B29" s="110"/>
      <c r="C29" s="117"/>
      <c r="D29" s="118"/>
      <c r="F29">
        <v>17</v>
      </c>
      <c r="G29" s="40">
        <f>IF(ISERROR(R29),"",INDEX(Sob!A:A,'Где автомобиль'!$R29))</f>
      </c>
      <c r="H29" s="41">
        <f>IF(ISERROR(R29),"",INDEX(Sob!B:B,'Где автомобиль'!$R29))</f>
      </c>
      <c r="I29" s="41">
        <f>IF(ISERROR(R29),"",INDEX(Sob!C:C,'Где автомобиль'!$R29))</f>
      </c>
      <c r="J29" s="91">
        <f ca="1" t="shared" si="5"/>
      </c>
      <c r="K29" s="61">
        <f t="shared" si="6"/>
      </c>
      <c r="L29" s="61">
        <f t="shared" si="7"/>
      </c>
      <c r="M29" s="41">
        <f t="shared" si="8"/>
      </c>
      <c r="N29" s="79">
        <f t="shared" si="9"/>
      </c>
      <c r="O29" s="91">
        <f t="shared" si="10"/>
      </c>
      <c r="R29" t="e">
        <f ca="1" t="shared" si="11"/>
        <v>#N/A</v>
      </c>
    </row>
    <row r="30" spans="1:18" ht="21.75" customHeight="1">
      <c r="A30" s="109"/>
      <c r="B30" s="110"/>
      <c r="C30" s="117"/>
      <c r="D30" s="118"/>
      <c r="F30">
        <v>18</v>
      </c>
      <c r="G30" s="40">
        <f>IF(ISERROR(R30),"",INDEX(Sob!A:A,'Где автомобиль'!$R30))</f>
      </c>
      <c r="H30" s="41">
        <f>IF(ISERROR(R30),"",INDEX(Sob!B:B,'Где автомобиль'!$R30))</f>
      </c>
      <c r="I30" s="41">
        <f>IF(ISERROR(R30),"",INDEX(Sob!C:C,'Где автомобиль'!$R30))</f>
      </c>
      <c r="J30" s="91">
        <f ca="1" t="shared" si="5"/>
      </c>
      <c r="K30" s="61">
        <f t="shared" si="6"/>
      </c>
      <c r="L30" s="61">
        <f t="shared" si="7"/>
      </c>
      <c r="M30" s="41">
        <f t="shared" si="8"/>
      </c>
      <c r="N30" s="79">
        <f t="shared" si="9"/>
      </c>
      <c r="O30" s="91">
        <f t="shared" si="10"/>
      </c>
      <c r="R30" t="e">
        <f ca="1" t="shared" si="11"/>
        <v>#N/A</v>
      </c>
    </row>
    <row r="31" spans="1:18" ht="21.75" customHeight="1">
      <c r="A31" s="111"/>
      <c r="B31" s="112"/>
      <c r="C31" s="119"/>
      <c r="D31" s="120"/>
      <c r="F31">
        <v>19</v>
      </c>
      <c r="G31" s="40">
        <f>IF(ISERROR(R31),"",INDEX(Sob!A:A,'Где автомобиль'!$R31))</f>
      </c>
      <c r="H31" s="41">
        <f>IF(ISERROR(R31),"",INDEX(Sob!B:B,'Где автомобиль'!$R31))</f>
      </c>
      <c r="I31" s="41">
        <f>IF(ISERROR(R31),"",INDEX(Sob!C:C,'Где автомобиль'!$R31))</f>
      </c>
      <c r="J31" s="91">
        <f ca="1" t="shared" si="5"/>
      </c>
      <c r="K31" s="61">
        <f t="shared" si="6"/>
      </c>
      <c r="L31" s="61">
        <f t="shared" si="7"/>
      </c>
      <c r="M31" s="41">
        <f t="shared" si="8"/>
      </c>
      <c r="N31" s="79">
        <f t="shared" si="9"/>
      </c>
      <c r="O31" s="91">
        <f t="shared" si="10"/>
      </c>
      <c r="R31" t="e">
        <f ca="1" t="shared" si="11"/>
        <v>#N/A</v>
      </c>
    </row>
    <row r="32" spans="1:18" ht="21.75" customHeight="1">
      <c r="A32" s="13" t="s">
        <v>51</v>
      </c>
      <c r="B32" s="81"/>
      <c r="F32">
        <v>20</v>
      </c>
      <c r="G32" s="40">
        <f>IF(ISERROR(R32),"",INDEX(Sob!A:A,'Где автомобиль'!$R32))</f>
      </c>
      <c r="H32" s="41">
        <f>IF(ISERROR(R32),"",INDEX(Sob!B:B,'Где автомобиль'!$R32))</f>
      </c>
      <c r="I32" s="41">
        <f>IF(ISERROR(R32),"",INDEX(Sob!C:C,'Где автомобиль'!$R32))</f>
      </c>
      <c r="J32" s="91">
        <f ca="1" t="shared" si="5"/>
      </c>
      <c r="K32" s="61">
        <f t="shared" si="6"/>
      </c>
      <c r="L32" s="61">
        <f t="shared" si="7"/>
      </c>
      <c r="M32" s="41">
        <f t="shared" si="8"/>
      </c>
      <c r="N32" s="79">
        <f t="shared" si="9"/>
      </c>
      <c r="O32" s="91">
        <f t="shared" si="10"/>
      </c>
      <c r="R32" t="e">
        <f ca="1" t="shared" si="11"/>
        <v>#N/A</v>
      </c>
    </row>
    <row r="33" spans="1:18" ht="21.75" customHeight="1">
      <c r="A33" s="107"/>
      <c r="B33" s="108"/>
      <c r="F33">
        <v>21</v>
      </c>
      <c r="G33" s="40">
        <f>IF(ISERROR(R33),"",INDEX(Sob!A:A,'Где автомобиль'!$R33))</f>
      </c>
      <c r="H33" s="41">
        <f>IF(ISERROR(R33),"",INDEX(Sob!B:B,'Где автомобиль'!$R33))</f>
      </c>
      <c r="I33" s="41">
        <f>IF(ISERROR(R33),"",INDEX(Sob!C:C,'Где автомобиль'!$R33))</f>
      </c>
      <c r="J33" s="91">
        <f ca="1" t="shared" si="5"/>
      </c>
      <c r="K33" s="61">
        <f t="shared" si="6"/>
      </c>
      <c r="L33" s="61">
        <f t="shared" si="7"/>
      </c>
      <c r="M33" s="41">
        <f t="shared" si="8"/>
      </c>
      <c r="N33" s="79">
        <f t="shared" si="9"/>
      </c>
      <c r="O33" s="91">
        <f t="shared" si="10"/>
      </c>
      <c r="R33" t="e">
        <f ca="1" t="shared" si="11"/>
        <v>#N/A</v>
      </c>
    </row>
    <row r="34" spans="1:18" ht="21.75" customHeight="1">
      <c r="A34" s="109"/>
      <c r="B34" s="110"/>
      <c r="F34">
        <v>22</v>
      </c>
      <c r="G34" s="40">
        <f>IF(ISERROR(R34),"",INDEX(Sob!A:A,'Где автомобиль'!$R34))</f>
      </c>
      <c r="H34" s="41">
        <f>IF(ISERROR(R34),"",INDEX(Sob!B:B,'Где автомобиль'!$R34))</f>
      </c>
      <c r="I34" s="41">
        <f>IF(ISERROR(R34),"",INDEX(Sob!C:C,'Где автомобиль'!$R34))</f>
      </c>
      <c r="J34" s="91">
        <f ca="1" t="shared" si="5"/>
      </c>
      <c r="K34" s="61">
        <f t="shared" si="6"/>
      </c>
      <c r="L34" s="61">
        <f t="shared" si="7"/>
      </c>
      <c r="M34" s="41">
        <f t="shared" si="8"/>
      </c>
      <c r="N34" s="79">
        <f t="shared" si="9"/>
      </c>
      <c r="O34" s="91">
        <f t="shared" si="10"/>
      </c>
      <c r="R34" t="e">
        <f ca="1" t="shared" si="11"/>
        <v>#N/A</v>
      </c>
    </row>
    <row r="35" spans="1:18" ht="21.75" customHeight="1">
      <c r="A35" s="109"/>
      <c r="B35" s="110"/>
      <c r="F35">
        <v>23</v>
      </c>
      <c r="G35" s="40">
        <f>IF(ISERROR(R35),"",INDEX(Sob!A:A,'Где автомобиль'!$R35))</f>
      </c>
      <c r="H35" s="41">
        <f>IF(ISERROR(R35),"",INDEX(Sob!B:B,'Где автомобиль'!$R35))</f>
      </c>
      <c r="I35" s="41">
        <f>IF(ISERROR(R35),"",INDEX(Sob!C:C,'Где автомобиль'!$R35))</f>
      </c>
      <c r="J35" s="91">
        <f ca="1" t="shared" si="5"/>
      </c>
      <c r="K35" s="61">
        <f t="shared" si="6"/>
      </c>
      <c r="L35" s="61">
        <f t="shared" si="7"/>
      </c>
      <c r="M35" s="41">
        <f t="shared" si="8"/>
      </c>
      <c r="N35" s="79">
        <f t="shared" si="9"/>
      </c>
      <c r="O35" s="91">
        <f t="shared" si="10"/>
      </c>
      <c r="R35" t="e">
        <f ca="1" t="shared" si="11"/>
        <v>#N/A</v>
      </c>
    </row>
    <row r="36" spans="1:18" ht="21.75" customHeight="1">
      <c r="A36" s="109"/>
      <c r="B36" s="110"/>
      <c r="F36">
        <v>24</v>
      </c>
      <c r="G36" s="40">
        <f>IF(ISERROR(R36),"",INDEX(Sob!A:A,'Где автомобиль'!$R36))</f>
      </c>
      <c r="H36" s="41">
        <f>IF(ISERROR(R36),"",INDEX(Sob!B:B,'Где автомобиль'!$R36))</f>
      </c>
      <c r="I36" s="41">
        <f>IF(ISERROR(R36),"",INDEX(Sob!C:C,'Где автомобиль'!$R36))</f>
      </c>
      <c r="J36" s="91">
        <f ca="1" t="shared" si="5"/>
      </c>
      <c r="K36" s="61">
        <f t="shared" si="6"/>
      </c>
      <c r="L36" s="61">
        <f t="shared" si="7"/>
      </c>
      <c r="M36" s="41">
        <f t="shared" si="8"/>
      </c>
      <c r="N36" s="79">
        <f t="shared" si="9"/>
      </c>
      <c r="O36" s="91">
        <f t="shared" si="10"/>
      </c>
      <c r="R36" t="e">
        <f ca="1" t="shared" si="11"/>
        <v>#N/A</v>
      </c>
    </row>
    <row r="37" spans="1:18" ht="21.75" customHeight="1">
      <c r="A37" s="111"/>
      <c r="B37" s="112"/>
      <c r="F37">
        <v>25</v>
      </c>
      <c r="G37" s="40">
        <f>IF(ISERROR(R37),"",INDEX(Sob!A:A,'Где автомобиль'!$R37))</f>
      </c>
      <c r="H37" s="41">
        <f>IF(ISERROR(R37),"",INDEX(Sob!B:B,'Где автомобиль'!$R37))</f>
      </c>
      <c r="I37" s="41">
        <f>IF(ISERROR(R37),"",INDEX(Sob!C:C,'Где автомобиль'!$R37))</f>
      </c>
      <c r="J37" s="91">
        <f ca="1" t="shared" si="5"/>
      </c>
      <c r="K37" s="61">
        <f t="shared" si="6"/>
      </c>
      <c r="L37" s="61">
        <f t="shared" si="7"/>
      </c>
      <c r="M37" s="41">
        <f t="shared" si="8"/>
      </c>
      <c r="N37" s="79">
        <f t="shared" si="9"/>
      </c>
      <c r="O37" s="91">
        <f t="shared" si="10"/>
      </c>
      <c r="R37" t="e">
        <f ca="1" t="shared" si="11"/>
        <v>#N/A</v>
      </c>
    </row>
    <row r="38" spans="1:18" ht="21.75" customHeight="1">
      <c r="A38" s="13" t="s">
        <v>51</v>
      </c>
      <c r="B38" s="81"/>
      <c r="F38">
        <v>26</v>
      </c>
      <c r="G38" s="40">
        <f>IF(ISERROR(R38),"",INDEX(Sob!A:A,'Где автомобиль'!$R38))</f>
      </c>
      <c r="H38" s="41">
        <f>IF(ISERROR(R38),"",INDEX(Sob!B:B,'Где автомобиль'!$R38))</f>
      </c>
      <c r="I38" s="41">
        <f>IF(ISERROR(R38),"",INDEX(Sob!C:C,'Где автомобиль'!$R38))</f>
      </c>
      <c r="J38" s="91">
        <f ca="1" t="shared" si="5"/>
      </c>
      <c r="K38" s="61">
        <f t="shared" si="6"/>
      </c>
      <c r="L38" s="61">
        <f t="shared" si="7"/>
      </c>
      <c r="M38" s="41">
        <f t="shared" si="8"/>
      </c>
      <c r="N38" s="79">
        <f t="shared" si="9"/>
      </c>
      <c r="O38" s="91">
        <f t="shared" si="10"/>
      </c>
      <c r="R38" t="e">
        <f ca="1" t="shared" si="11"/>
        <v>#N/A</v>
      </c>
    </row>
    <row r="39" spans="1:18" ht="21.75" customHeight="1">
      <c r="A39" s="107"/>
      <c r="B39" s="108"/>
      <c r="F39">
        <v>27</v>
      </c>
      <c r="G39" s="40">
        <f>IF(ISERROR(R39),"",INDEX(Sob!A:A,'Где автомобиль'!$R39))</f>
      </c>
      <c r="H39" s="41">
        <f>IF(ISERROR(R39),"",INDEX(Sob!B:B,'Где автомобиль'!$R39))</f>
      </c>
      <c r="I39" s="41">
        <f>IF(ISERROR(R39),"",INDEX(Sob!C:C,'Где автомобиль'!$R39))</f>
      </c>
      <c r="J39" s="91">
        <f ca="1" t="shared" si="5"/>
      </c>
      <c r="K39" s="61">
        <f t="shared" si="6"/>
      </c>
      <c r="L39" s="61">
        <f t="shared" si="7"/>
      </c>
      <c r="M39" s="41">
        <f t="shared" si="8"/>
      </c>
      <c r="N39" s="79">
        <f t="shared" si="9"/>
      </c>
      <c r="O39" s="91">
        <f t="shared" si="10"/>
      </c>
      <c r="R39" t="e">
        <f ca="1" t="shared" si="11"/>
        <v>#N/A</v>
      </c>
    </row>
    <row r="40" spans="1:18" ht="21.75" customHeight="1">
      <c r="A40" s="109"/>
      <c r="B40" s="110"/>
      <c r="F40">
        <v>28</v>
      </c>
      <c r="G40" s="40">
        <f>IF(ISERROR(R40),"",INDEX(Sob!A:A,'Где автомобиль'!$R40))</f>
      </c>
      <c r="H40" s="41">
        <f>IF(ISERROR(R40),"",INDEX(Sob!B:B,'Где автомобиль'!$R40))</f>
      </c>
      <c r="I40" s="41">
        <f>IF(ISERROR(R40),"",INDEX(Sob!C:C,'Где автомобиль'!$R40))</f>
      </c>
      <c r="J40" s="91">
        <f ca="1" t="shared" si="5"/>
      </c>
      <c r="K40" s="61">
        <f t="shared" si="6"/>
      </c>
      <c r="L40" s="61">
        <f t="shared" si="7"/>
      </c>
      <c r="M40" s="41">
        <f t="shared" si="8"/>
      </c>
      <c r="N40" s="79">
        <f t="shared" si="9"/>
      </c>
      <c r="O40" s="91">
        <f t="shared" si="10"/>
      </c>
      <c r="R40" t="e">
        <f ca="1" t="shared" si="11"/>
        <v>#N/A</v>
      </c>
    </row>
    <row r="41" spans="1:18" ht="21.75" customHeight="1">
      <c r="A41" s="109"/>
      <c r="B41" s="110"/>
      <c r="F41">
        <v>29</v>
      </c>
      <c r="G41" s="40">
        <f>IF(ISERROR(R41),"",INDEX(Sob!A:A,'Где автомобиль'!$R41))</f>
      </c>
      <c r="H41" s="41">
        <f>IF(ISERROR(R41),"",INDEX(Sob!B:B,'Где автомобиль'!$R41))</f>
      </c>
      <c r="I41" s="41">
        <f>IF(ISERROR(R41),"",INDEX(Sob!C:C,'Где автомобиль'!$R41))</f>
      </c>
      <c r="J41" s="91">
        <f ca="1" t="shared" si="5"/>
      </c>
      <c r="K41" s="61">
        <f t="shared" si="6"/>
      </c>
      <c r="L41" s="61">
        <f t="shared" si="7"/>
      </c>
      <c r="M41" s="41">
        <f t="shared" si="8"/>
      </c>
      <c r="N41" s="79">
        <f t="shared" si="9"/>
      </c>
      <c r="O41" s="91">
        <f t="shared" si="10"/>
      </c>
      <c r="R41" t="e">
        <f ca="1" t="shared" si="11"/>
        <v>#N/A</v>
      </c>
    </row>
    <row r="42" spans="1:18" ht="21.75" customHeight="1">
      <c r="A42" s="109"/>
      <c r="B42" s="110"/>
      <c r="F42">
        <v>30</v>
      </c>
      <c r="G42" s="40">
        <f>IF(ISERROR(R42),"",INDEX(Sob!A:A,'Где автомобиль'!$R42))</f>
      </c>
      <c r="H42" s="41">
        <f>IF(ISERROR(R42),"",INDEX(Sob!B:B,'Где автомобиль'!$R42))</f>
      </c>
      <c r="I42" s="41">
        <f>IF(ISERROR(R42),"",INDEX(Sob!C:C,'Где автомобиль'!$R42))</f>
      </c>
      <c r="J42" s="91">
        <f ca="1" t="shared" si="5"/>
      </c>
      <c r="K42" s="61">
        <f t="shared" si="6"/>
      </c>
      <c r="L42" s="61">
        <f t="shared" si="7"/>
      </c>
      <c r="M42" s="41">
        <f t="shared" si="8"/>
      </c>
      <c r="N42" s="79">
        <f t="shared" si="9"/>
      </c>
      <c r="O42" s="91">
        <f t="shared" si="10"/>
      </c>
      <c r="R42" t="e">
        <f ca="1" t="shared" si="11"/>
        <v>#N/A</v>
      </c>
    </row>
    <row r="43" spans="1:18" ht="21.75" customHeight="1">
      <c r="A43" s="111"/>
      <c r="B43" s="112"/>
      <c r="F43">
        <v>31</v>
      </c>
      <c r="G43" s="40">
        <f>IF(ISERROR(R43),"",INDEX(Sob!A:A,'Где автомобиль'!$R43))</f>
      </c>
      <c r="H43" s="41">
        <f>IF(ISERROR(R43),"",INDEX(Sob!B:B,'Где автомобиль'!$R43))</f>
      </c>
      <c r="I43" s="41">
        <f>IF(ISERROR(R43),"",INDEX(Sob!C:C,'Где автомобиль'!$R43))</f>
      </c>
      <c r="J43" s="91">
        <f ca="1" t="shared" si="5"/>
      </c>
      <c r="K43" s="61">
        <f t="shared" si="6"/>
      </c>
      <c r="L43" s="61">
        <f t="shared" si="7"/>
      </c>
      <c r="M43" s="41">
        <f t="shared" si="8"/>
      </c>
      <c r="N43" s="79">
        <f t="shared" si="9"/>
      </c>
      <c r="O43" s="91">
        <f t="shared" si="10"/>
      </c>
      <c r="R43" t="e">
        <f ca="1" t="shared" si="11"/>
        <v>#N/A</v>
      </c>
    </row>
    <row r="44" spans="1:18" ht="21.75" customHeight="1">
      <c r="A44" s="13" t="s">
        <v>51</v>
      </c>
      <c r="B44" s="81"/>
      <c r="F44">
        <v>32</v>
      </c>
      <c r="G44" s="40">
        <f>IF(ISERROR(R44),"",INDEX(Sob!A:A,'Где автомобиль'!$R44))</f>
      </c>
      <c r="H44" s="41">
        <f>IF(ISERROR(R44),"",INDEX(Sob!B:B,'Где автомобиль'!$R44))</f>
      </c>
      <c r="I44" s="41">
        <f>IF(ISERROR(R44),"",INDEX(Sob!C:C,'Где автомобиль'!$R44))</f>
      </c>
      <c r="J44" s="91">
        <f ca="1" t="shared" si="5"/>
      </c>
      <c r="K44" s="61">
        <f t="shared" si="6"/>
      </c>
      <c r="L44" s="61">
        <f t="shared" si="7"/>
      </c>
      <c r="M44" s="41">
        <f t="shared" si="8"/>
      </c>
      <c r="N44" s="79">
        <f t="shared" si="9"/>
      </c>
      <c r="O44" s="91">
        <f t="shared" si="10"/>
      </c>
      <c r="R44" t="e">
        <f ca="1" t="shared" si="11"/>
        <v>#N/A</v>
      </c>
    </row>
    <row r="45" spans="1:18" ht="21.75" customHeight="1">
      <c r="A45" s="107"/>
      <c r="B45" s="108"/>
      <c r="F45">
        <v>33</v>
      </c>
      <c r="G45" s="40">
        <f>IF(ISERROR(R45),"",INDEX(Sob!A:A,'Где автомобиль'!$R45))</f>
      </c>
      <c r="H45" s="41">
        <f>IF(ISERROR(R45),"",INDEX(Sob!B:B,'Где автомобиль'!$R45))</f>
      </c>
      <c r="I45" s="41">
        <f>IF(ISERROR(R45),"",INDEX(Sob!C:C,'Где автомобиль'!$R45))</f>
      </c>
      <c r="J45" s="91">
        <f aca="true" ca="1" t="shared" si="12" ref="J45:J76">IF(ISERROR(R45),"",DMAX(Sob,1,INDIRECT("R1C"&amp;F45+19&amp;":R2C"&amp;F45+19,0)))</f>
      </c>
      <c r="K45" s="61">
        <f aca="true" t="shared" si="13" ref="K45:K76">IF(ISERROR(R45),"",VLOOKUP(I45,Auto,2,0))</f>
      </c>
      <c r="L45" s="61">
        <f aca="true" t="shared" si="14" ref="L45:L76">IF(ISERROR(R45),"",VLOOKUP(I45,Auto,3,0))</f>
      </c>
      <c r="M45" s="41">
        <f aca="true" t="shared" si="15" ref="M45:M76">IF(ISERROR(R45),"",VLOOKUP(J45,Sob,4,0))</f>
      </c>
      <c r="N45" s="79">
        <f aca="true" t="shared" si="16" ref="N45:N76">IF(ISERROR(R45),"",VLOOKUP(J45,Sob,6,0))</f>
      </c>
      <c r="O45" s="91">
        <f aca="true" t="shared" si="17" ref="O45:O76">IF(ISERROR(R45),"",VLOOKUP(J45,Sob,8,0))</f>
      </c>
      <c r="R45" t="e">
        <f ca="1" t="shared" si="11"/>
        <v>#N/A</v>
      </c>
    </row>
    <row r="46" spans="1:18" ht="21.75" customHeight="1">
      <c r="A46" s="109"/>
      <c r="B46" s="110"/>
      <c r="F46">
        <v>34</v>
      </c>
      <c r="G46" s="40">
        <f>IF(ISERROR(R46),"",INDEX(Sob!A:A,'Где автомобиль'!$R46))</f>
      </c>
      <c r="H46" s="41">
        <f>IF(ISERROR(R46),"",INDEX(Sob!B:B,'Где автомобиль'!$R46))</f>
      </c>
      <c r="I46" s="41">
        <f>IF(ISERROR(R46),"",INDEX(Sob!C:C,'Где автомобиль'!$R46))</f>
      </c>
      <c r="J46" s="91">
        <f ca="1" t="shared" si="12"/>
      </c>
      <c r="K46" s="61">
        <f t="shared" si="13"/>
      </c>
      <c r="L46" s="61">
        <f t="shared" si="14"/>
      </c>
      <c r="M46" s="41">
        <f t="shared" si="15"/>
      </c>
      <c r="N46" s="79">
        <f t="shared" si="16"/>
      </c>
      <c r="O46" s="91">
        <f t="shared" si="17"/>
      </c>
      <c r="R46" t="e">
        <f aca="true" ca="1" t="shared" si="18" ref="R46:R77">MATCH($P$2,INDIRECT("sob!d"&amp;R45+1&amp;":d1000"),0)+R45</f>
        <v>#N/A</v>
      </c>
    </row>
    <row r="47" spans="1:18" ht="21.75" customHeight="1">
      <c r="A47" s="109"/>
      <c r="B47" s="110"/>
      <c r="F47">
        <v>35</v>
      </c>
      <c r="G47" s="40">
        <f>IF(ISERROR(R47),"",INDEX(Sob!A:A,'Где автомобиль'!$R47))</f>
      </c>
      <c r="H47" s="41">
        <f>IF(ISERROR(R47),"",INDEX(Sob!B:B,'Где автомобиль'!$R47))</f>
      </c>
      <c r="I47" s="41">
        <f>IF(ISERROR(R47),"",INDEX(Sob!C:C,'Где автомобиль'!$R47))</f>
      </c>
      <c r="J47" s="91">
        <f ca="1" t="shared" si="12"/>
      </c>
      <c r="K47" s="61">
        <f t="shared" si="13"/>
      </c>
      <c r="L47" s="61">
        <f t="shared" si="14"/>
      </c>
      <c r="M47" s="41">
        <f t="shared" si="15"/>
      </c>
      <c r="N47" s="79">
        <f t="shared" si="16"/>
      </c>
      <c r="O47" s="91">
        <f t="shared" si="17"/>
      </c>
      <c r="R47" t="e">
        <f ca="1" t="shared" si="18"/>
        <v>#N/A</v>
      </c>
    </row>
    <row r="48" spans="1:18" ht="21.75" customHeight="1">
      <c r="A48" s="109"/>
      <c r="B48" s="110"/>
      <c r="F48">
        <v>36</v>
      </c>
      <c r="G48" s="40">
        <f>IF(ISERROR(R48),"",INDEX(Sob!A:A,'Где автомобиль'!$R48))</f>
      </c>
      <c r="H48" s="41">
        <f>IF(ISERROR(R48),"",INDEX(Sob!B:B,'Где автомобиль'!$R48))</f>
      </c>
      <c r="I48" s="41">
        <f>IF(ISERROR(R48),"",INDEX(Sob!C:C,'Где автомобиль'!$R48))</f>
      </c>
      <c r="J48" s="91">
        <f ca="1" t="shared" si="12"/>
      </c>
      <c r="K48" s="61">
        <f t="shared" si="13"/>
      </c>
      <c r="L48" s="61">
        <f t="shared" si="14"/>
      </c>
      <c r="M48" s="41">
        <f t="shared" si="15"/>
      </c>
      <c r="N48" s="79">
        <f t="shared" si="16"/>
      </c>
      <c r="O48" s="91">
        <f t="shared" si="17"/>
      </c>
      <c r="R48" t="e">
        <f ca="1" t="shared" si="18"/>
        <v>#N/A</v>
      </c>
    </row>
    <row r="49" spans="1:18" ht="21.75" customHeight="1">
      <c r="A49" s="111"/>
      <c r="B49" s="112"/>
      <c r="F49">
        <v>37</v>
      </c>
      <c r="G49" s="40">
        <f>IF(ISERROR(R49),"",INDEX(Sob!A:A,'Где автомобиль'!$R49))</f>
      </c>
      <c r="H49" s="41">
        <f>IF(ISERROR(R49),"",INDEX(Sob!B:B,'Где автомобиль'!$R49))</f>
      </c>
      <c r="I49" s="41">
        <f>IF(ISERROR(R49),"",INDEX(Sob!C:C,'Где автомобиль'!$R49))</f>
      </c>
      <c r="J49" s="91">
        <f ca="1" t="shared" si="12"/>
      </c>
      <c r="K49" s="61">
        <f t="shared" si="13"/>
      </c>
      <c r="L49" s="61">
        <f t="shared" si="14"/>
      </c>
      <c r="M49" s="41">
        <f t="shared" si="15"/>
      </c>
      <c r="N49" s="79">
        <f t="shared" si="16"/>
      </c>
      <c r="O49" s="91">
        <f t="shared" si="17"/>
      </c>
      <c r="R49" t="e">
        <f ca="1" t="shared" si="18"/>
        <v>#N/A</v>
      </c>
    </row>
    <row r="50" spans="6:18" ht="21.75" customHeight="1">
      <c r="F50">
        <v>38</v>
      </c>
      <c r="G50" s="40">
        <f>IF(ISERROR(R50),"",INDEX(Sob!A:A,'Где автомобиль'!$R50))</f>
      </c>
      <c r="H50" s="41">
        <f>IF(ISERROR(R50),"",INDEX(Sob!B:B,'Где автомобиль'!$R50))</f>
      </c>
      <c r="I50" s="41">
        <f>IF(ISERROR(R50),"",INDEX(Sob!C:C,'Где автомобиль'!$R50))</f>
      </c>
      <c r="J50" s="91">
        <f ca="1" t="shared" si="12"/>
      </c>
      <c r="K50" s="61">
        <f t="shared" si="13"/>
      </c>
      <c r="L50" s="61">
        <f t="shared" si="14"/>
      </c>
      <c r="M50" s="41">
        <f t="shared" si="15"/>
      </c>
      <c r="N50" s="79">
        <f t="shared" si="16"/>
      </c>
      <c r="O50" s="91">
        <f t="shared" si="17"/>
      </c>
      <c r="R50" t="e">
        <f ca="1" t="shared" si="18"/>
        <v>#N/A</v>
      </c>
    </row>
    <row r="51" spans="6:18" ht="21.75" customHeight="1">
      <c r="F51">
        <v>39</v>
      </c>
      <c r="G51" s="40">
        <f>IF(ISERROR(R51),"",INDEX(Sob!A:A,'Где автомобиль'!$R51))</f>
      </c>
      <c r="H51" s="41">
        <f>IF(ISERROR(R51),"",INDEX(Sob!B:B,'Где автомобиль'!$R51))</f>
      </c>
      <c r="I51" s="41">
        <f>IF(ISERROR(R51),"",INDEX(Sob!C:C,'Где автомобиль'!$R51))</f>
      </c>
      <c r="J51" s="91">
        <f ca="1" t="shared" si="12"/>
      </c>
      <c r="K51" s="61">
        <f t="shared" si="13"/>
      </c>
      <c r="L51" s="61">
        <f t="shared" si="14"/>
      </c>
      <c r="M51" s="41">
        <f t="shared" si="15"/>
      </c>
      <c r="N51" s="79">
        <f t="shared" si="16"/>
      </c>
      <c r="O51" s="91">
        <f t="shared" si="17"/>
      </c>
      <c r="R51" t="e">
        <f ca="1" t="shared" si="18"/>
        <v>#N/A</v>
      </c>
    </row>
    <row r="52" spans="6:18" ht="21.75" customHeight="1">
      <c r="F52">
        <v>40</v>
      </c>
      <c r="G52" s="40">
        <f>IF(ISERROR(R52),"",INDEX(Sob!A:A,'Где автомобиль'!$R52))</f>
      </c>
      <c r="H52" s="41">
        <f>IF(ISERROR(R52),"",INDEX(Sob!B:B,'Где автомобиль'!$R52))</f>
      </c>
      <c r="I52" s="41">
        <f>IF(ISERROR(R52),"",INDEX(Sob!C:C,'Где автомобиль'!$R52))</f>
      </c>
      <c r="J52" s="91">
        <f ca="1" t="shared" si="12"/>
      </c>
      <c r="K52" s="61">
        <f t="shared" si="13"/>
      </c>
      <c r="L52" s="61">
        <f t="shared" si="14"/>
      </c>
      <c r="M52" s="41">
        <f t="shared" si="15"/>
      </c>
      <c r="N52" s="79">
        <f t="shared" si="16"/>
      </c>
      <c r="O52" s="91">
        <f t="shared" si="17"/>
      </c>
      <c r="R52" t="e">
        <f ca="1" t="shared" si="18"/>
        <v>#N/A</v>
      </c>
    </row>
    <row r="53" spans="6:18" ht="21.75" customHeight="1">
      <c r="F53">
        <v>41</v>
      </c>
      <c r="G53" s="40">
        <f>IF(ISERROR(R53),"",INDEX(Sob!A:A,'Где автомобиль'!$R53))</f>
      </c>
      <c r="H53" s="41">
        <f>IF(ISERROR(R53),"",INDEX(Sob!B:B,'Где автомобиль'!$R53))</f>
      </c>
      <c r="I53" s="41">
        <f>IF(ISERROR(R53),"",INDEX(Sob!C:C,'Где автомобиль'!$R53))</f>
      </c>
      <c r="J53" s="91">
        <f ca="1" t="shared" si="12"/>
      </c>
      <c r="K53" s="61">
        <f t="shared" si="13"/>
      </c>
      <c r="L53" s="61">
        <f t="shared" si="14"/>
      </c>
      <c r="M53" s="41">
        <f t="shared" si="15"/>
      </c>
      <c r="N53" s="79">
        <f t="shared" si="16"/>
      </c>
      <c r="O53" s="91">
        <f t="shared" si="17"/>
      </c>
      <c r="R53" t="e">
        <f ca="1" t="shared" si="18"/>
        <v>#N/A</v>
      </c>
    </row>
    <row r="54" spans="6:18" ht="21.75" customHeight="1">
      <c r="F54">
        <v>42</v>
      </c>
      <c r="G54" s="40">
        <f>IF(ISERROR(R54),"",INDEX(Sob!A:A,'Где автомобиль'!$R54))</f>
      </c>
      <c r="H54" s="41">
        <f>IF(ISERROR(R54),"",INDEX(Sob!B:B,'Где автомобиль'!$R54))</f>
      </c>
      <c r="I54" s="41">
        <f>IF(ISERROR(R54),"",INDEX(Sob!C:C,'Где автомобиль'!$R54))</f>
      </c>
      <c r="J54" s="91">
        <f ca="1" t="shared" si="12"/>
      </c>
      <c r="K54" s="61">
        <f t="shared" si="13"/>
      </c>
      <c r="L54" s="61">
        <f t="shared" si="14"/>
      </c>
      <c r="M54" s="41">
        <f t="shared" si="15"/>
      </c>
      <c r="N54" s="79">
        <f t="shared" si="16"/>
      </c>
      <c r="O54" s="91">
        <f t="shared" si="17"/>
      </c>
      <c r="R54" t="e">
        <f ca="1" t="shared" si="18"/>
        <v>#N/A</v>
      </c>
    </row>
    <row r="55" spans="6:18" ht="21.75" customHeight="1">
      <c r="F55">
        <v>43</v>
      </c>
      <c r="G55" s="40">
        <f>IF(ISERROR(R55),"",INDEX(Sob!A:A,'Где автомобиль'!$R55))</f>
      </c>
      <c r="H55" s="41">
        <f>IF(ISERROR(R55),"",INDEX(Sob!B:B,'Где автомобиль'!$R55))</f>
      </c>
      <c r="I55" s="41">
        <f>IF(ISERROR(R55),"",INDEX(Sob!C:C,'Где автомобиль'!$R55))</f>
      </c>
      <c r="J55" s="91">
        <f ca="1" t="shared" si="12"/>
      </c>
      <c r="K55" s="61">
        <f t="shared" si="13"/>
      </c>
      <c r="L55" s="61">
        <f t="shared" si="14"/>
      </c>
      <c r="M55" s="41">
        <f t="shared" si="15"/>
      </c>
      <c r="N55" s="79">
        <f t="shared" si="16"/>
      </c>
      <c r="O55" s="91">
        <f t="shared" si="17"/>
      </c>
      <c r="R55" t="e">
        <f ca="1" t="shared" si="18"/>
        <v>#N/A</v>
      </c>
    </row>
    <row r="56" spans="6:18" ht="21.75" customHeight="1">
      <c r="F56">
        <v>44</v>
      </c>
      <c r="G56" s="40">
        <f>IF(ISERROR(R56),"",INDEX(Sob!A:A,'Где автомобиль'!$R56))</f>
      </c>
      <c r="H56" s="41">
        <f>IF(ISERROR(R56),"",INDEX(Sob!B:B,'Где автомобиль'!$R56))</f>
      </c>
      <c r="I56" s="41">
        <f>IF(ISERROR(R56),"",INDEX(Sob!C:C,'Где автомобиль'!$R56))</f>
      </c>
      <c r="J56" s="91">
        <f ca="1" t="shared" si="12"/>
      </c>
      <c r="K56" s="61">
        <f t="shared" si="13"/>
      </c>
      <c r="L56" s="61">
        <f t="shared" si="14"/>
      </c>
      <c r="M56" s="41">
        <f t="shared" si="15"/>
      </c>
      <c r="N56" s="79">
        <f t="shared" si="16"/>
      </c>
      <c r="O56" s="91">
        <f t="shared" si="17"/>
      </c>
      <c r="R56" t="e">
        <f ca="1" t="shared" si="18"/>
        <v>#N/A</v>
      </c>
    </row>
    <row r="57" spans="6:18" ht="21.75" customHeight="1">
      <c r="F57">
        <v>45</v>
      </c>
      <c r="G57" s="40">
        <f>IF(ISERROR(R57),"",INDEX(Sob!A:A,'Где автомобиль'!$R57))</f>
      </c>
      <c r="H57" s="41">
        <f>IF(ISERROR(R57),"",INDEX(Sob!B:B,'Где автомобиль'!$R57))</f>
      </c>
      <c r="I57" s="41">
        <f>IF(ISERROR(R57),"",INDEX(Sob!C:C,'Где автомобиль'!$R57))</f>
      </c>
      <c r="J57" s="91">
        <f ca="1" t="shared" si="12"/>
      </c>
      <c r="K57" s="61">
        <f t="shared" si="13"/>
      </c>
      <c r="L57" s="61">
        <f t="shared" si="14"/>
      </c>
      <c r="M57" s="41">
        <f t="shared" si="15"/>
      </c>
      <c r="N57" s="79">
        <f t="shared" si="16"/>
      </c>
      <c r="O57" s="91">
        <f t="shared" si="17"/>
      </c>
      <c r="R57" t="e">
        <f ca="1" t="shared" si="18"/>
        <v>#N/A</v>
      </c>
    </row>
    <row r="58" spans="6:18" ht="21.75" customHeight="1">
      <c r="F58">
        <v>46</v>
      </c>
      <c r="G58" s="40">
        <f>IF(ISERROR(R58),"",INDEX(Sob!A:A,'Где автомобиль'!$R58))</f>
      </c>
      <c r="H58" s="41">
        <f>IF(ISERROR(R58),"",INDEX(Sob!B:B,'Где автомобиль'!$R58))</f>
      </c>
      <c r="I58" s="41">
        <f>IF(ISERROR(R58),"",INDEX(Sob!C:C,'Где автомобиль'!$R58))</f>
      </c>
      <c r="J58" s="91">
        <f ca="1" t="shared" si="12"/>
      </c>
      <c r="K58" s="61">
        <f t="shared" si="13"/>
      </c>
      <c r="L58" s="61">
        <f t="shared" si="14"/>
      </c>
      <c r="M58" s="41">
        <f t="shared" si="15"/>
      </c>
      <c r="N58" s="79">
        <f t="shared" si="16"/>
      </c>
      <c r="O58" s="91">
        <f t="shared" si="17"/>
      </c>
      <c r="R58" t="e">
        <f ca="1" t="shared" si="18"/>
        <v>#N/A</v>
      </c>
    </row>
    <row r="59" spans="6:18" ht="21.75" customHeight="1">
      <c r="F59">
        <v>47</v>
      </c>
      <c r="G59" s="40">
        <f>IF(ISERROR(R59),"",INDEX(Sob!A:A,'Где автомобиль'!$R59))</f>
      </c>
      <c r="H59" s="41">
        <f>IF(ISERROR(R59),"",INDEX(Sob!B:B,'Где автомобиль'!$R59))</f>
      </c>
      <c r="I59" s="41">
        <f>IF(ISERROR(R59),"",INDEX(Sob!C:C,'Где автомобиль'!$R59))</f>
      </c>
      <c r="J59" s="91">
        <f ca="1" t="shared" si="12"/>
      </c>
      <c r="K59" s="61">
        <f t="shared" si="13"/>
      </c>
      <c r="L59" s="61">
        <f t="shared" si="14"/>
      </c>
      <c r="M59" s="41">
        <f t="shared" si="15"/>
      </c>
      <c r="N59" s="79">
        <f t="shared" si="16"/>
      </c>
      <c r="O59" s="91">
        <f t="shared" si="17"/>
      </c>
      <c r="R59" t="e">
        <f ca="1" t="shared" si="18"/>
        <v>#N/A</v>
      </c>
    </row>
    <row r="60" spans="6:18" ht="21.75" customHeight="1">
      <c r="F60">
        <v>48</v>
      </c>
      <c r="G60" s="40">
        <f>IF(ISERROR(R60),"",INDEX(Sob!A:A,'Где автомобиль'!$R60))</f>
      </c>
      <c r="H60" s="41">
        <f>IF(ISERROR(R60),"",INDEX(Sob!B:B,'Где автомобиль'!$R60))</f>
      </c>
      <c r="I60" s="41">
        <f>IF(ISERROR(R60),"",INDEX(Sob!C:C,'Где автомобиль'!$R60))</f>
      </c>
      <c r="J60" s="91">
        <f ca="1" t="shared" si="12"/>
      </c>
      <c r="K60" s="61">
        <f t="shared" si="13"/>
      </c>
      <c r="L60" s="61">
        <f t="shared" si="14"/>
      </c>
      <c r="M60" s="41">
        <f t="shared" si="15"/>
      </c>
      <c r="N60" s="79">
        <f t="shared" si="16"/>
      </c>
      <c r="O60" s="91">
        <f t="shared" si="17"/>
      </c>
      <c r="R60" t="e">
        <f ca="1" t="shared" si="18"/>
        <v>#N/A</v>
      </c>
    </row>
    <row r="61" spans="6:18" ht="21.75" customHeight="1">
      <c r="F61">
        <v>49</v>
      </c>
      <c r="G61" s="40">
        <f>IF(ISERROR(R61),"",INDEX(Sob!A:A,'Где автомобиль'!$R61))</f>
      </c>
      <c r="H61" s="41">
        <f>IF(ISERROR(R61),"",INDEX(Sob!B:B,'Где автомобиль'!$R61))</f>
      </c>
      <c r="I61" s="41">
        <f>IF(ISERROR(R61),"",INDEX(Sob!C:C,'Где автомобиль'!$R61))</f>
      </c>
      <c r="J61" s="91">
        <f ca="1" t="shared" si="12"/>
      </c>
      <c r="K61" s="61">
        <f t="shared" si="13"/>
      </c>
      <c r="L61" s="61">
        <f t="shared" si="14"/>
      </c>
      <c r="M61" s="41">
        <f t="shared" si="15"/>
      </c>
      <c r="N61" s="79">
        <f t="shared" si="16"/>
      </c>
      <c r="O61" s="91">
        <f t="shared" si="17"/>
      </c>
      <c r="R61" t="e">
        <f ca="1" t="shared" si="18"/>
        <v>#N/A</v>
      </c>
    </row>
    <row r="62" spans="6:18" ht="21.75" customHeight="1">
      <c r="F62">
        <v>50</v>
      </c>
      <c r="G62" s="40">
        <f>IF(ISERROR(R62),"",INDEX(Sob!A:A,'Где автомобиль'!$R62))</f>
      </c>
      <c r="H62" s="41">
        <f>IF(ISERROR(R62),"",INDEX(Sob!B:B,'Где автомобиль'!$R62))</f>
      </c>
      <c r="I62" s="41">
        <f>IF(ISERROR(R62),"",INDEX(Sob!C:C,'Где автомобиль'!$R62))</f>
      </c>
      <c r="J62" s="91">
        <f ca="1" t="shared" si="12"/>
      </c>
      <c r="K62" s="61">
        <f t="shared" si="13"/>
      </c>
      <c r="L62" s="61">
        <f t="shared" si="14"/>
      </c>
      <c r="M62" s="41">
        <f t="shared" si="15"/>
      </c>
      <c r="N62" s="79">
        <f t="shared" si="16"/>
      </c>
      <c r="O62" s="91">
        <f t="shared" si="17"/>
      </c>
      <c r="R62" t="e">
        <f ca="1" t="shared" si="18"/>
        <v>#N/A</v>
      </c>
    </row>
    <row r="63" spans="6:18" ht="21.75" customHeight="1">
      <c r="F63">
        <v>51</v>
      </c>
      <c r="G63" s="40">
        <f>IF(ISERROR(R63),"",INDEX(Sob!A:A,'Где автомобиль'!$R63))</f>
      </c>
      <c r="H63" s="41">
        <f>IF(ISERROR(R63),"",INDEX(Sob!B:B,'Где автомобиль'!$R63))</f>
      </c>
      <c r="I63" s="41">
        <f>IF(ISERROR(R63),"",INDEX(Sob!C:C,'Где автомобиль'!$R63))</f>
      </c>
      <c r="J63" s="91">
        <f ca="1" t="shared" si="12"/>
      </c>
      <c r="K63" s="61">
        <f t="shared" si="13"/>
      </c>
      <c r="L63" s="61">
        <f t="shared" si="14"/>
      </c>
      <c r="M63" s="41">
        <f t="shared" si="15"/>
      </c>
      <c r="N63" s="79">
        <f t="shared" si="16"/>
      </c>
      <c r="O63" s="91">
        <f t="shared" si="17"/>
      </c>
      <c r="R63" t="e">
        <f ca="1" t="shared" si="18"/>
        <v>#N/A</v>
      </c>
    </row>
    <row r="64" spans="6:18" ht="21.75" customHeight="1">
      <c r="F64">
        <v>52</v>
      </c>
      <c r="G64" s="40">
        <f>IF(ISERROR(R64),"",INDEX(Sob!A:A,'Где автомобиль'!$R64))</f>
      </c>
      <c r="H64" s="41">
        <f>IF(ISERROR(R64),"",INDEX(Sob!B:B,'Где автомобиль'!$R64))</f>
      </c>
      <c r="I64" s="41">
        <f>IF(ISERROR(R64),"",INDEX(Sob!C:C,'Где автомобиль'!$R64))</f>
      </c>
      <c r="J64" s="91">
        <f ca="1" t="shared" si="12"/>
      </c>
      <c r="K64" s="61">
        <f t="shared" si="13"/>
      </c>
      <c r="L64" s="61">
        <f t="shared" si="14"/>
      </c>
      <c r="M64" s="41">
        <f t="shared" si="15"/>
      </c>
      <c r="N64" s="79">
        <f t="shared" si="16"/>
      </c>
      <c r="O64" s="91">
        <f t="shared" si="17"/>
      </c>
      <c r="R64" t="e">
        <f ca="1" t="shared" si="18"/>
        <v>#N/A</v>
      </c>
    </row>
    <row r="65" spans="6:18" ht="21.75" customHeight="1">
      <c r="F65">
        <v>53</v>
      </c>
      <c r="G65" s="40">
        <f>IF(ISERROR(R65),"",INDEX(Sob!A:A,'Где автомобиль'!$R65))</f>
      </c>
      <c r="H65" s="41">
        <f>IF(ISERROR(R65),"",INDEX(Sob!B:B,'Где автомобиль'!$R65))</f>
      </c>
      <c r="I65" s="41">
        <f>IF(ISERROR(R65),"",INDEX(Sob!C:C,'Где автомобиль'!$R65))</f>
      </c>
      <c r="J65" s="91">
        <f ca="1" t="shared" si="12"/>
      </c>
      <c r="K65" s="61">
        <f t="shared" si="13"/>
      </c>
      <c r="L65" s="61">
        <f t="shared" si="14"/>
      </c>
      <c r="M65" s="41">
        <f t="shared" si="15"/>
      </c>
      <c r="N65" s="79">
        <f t="shared" si="16"/>
      </c>
      <c r="O65" s="91">
        <f t="shared" si="17"/>
      </c>
      <c r="R65" t="e">
        <f ca="1" t="shared" si="18"/>
        <v>#N/A</v>
      </c>
    </row>
    <row r="66" spans="6:18" ht="21.75" customHeight="1">
      <c r="F66">
        <v>54</v>
      </c>
      <c r="G66" s="40">
        <f>IF(ISERROR(R66),"",INDEX(Sob!A:A,'Где автомобиль'!$R66))</f>
      </c>
      <c r="H66" s="41">
        <f>IF(ISERROR(R66),"",INDEX(Sob!B:B,'Где автомобиль'!$R66))</f>
      </c>
      <c r="I66" s="41">
        <f>IF(ISERROR(R66),"",INDEX(Sob!C:C,'Где автомобиль'!$R66))</f>
      </c>
      <c r="J66" s="91">
        <f ca="1" t="shared" si="12"/>
      </c>
      <c r="K66" s="61">
        <f t="shared" si="13"/>
      </c>
      <c r="L66" s="61">
        <f t="shared" si="14"/>
      </c>
      <c r="M66" s="41">
        <f t="shared" si="15"/>
      </c>
      <c r="N66" s="79">
        <f t="shared" si="16"/>
      </c>
      <c r="O66" s="91">
        <f t="shared" si="17"/>
      </c>
      <c r="R66" t="e">
        <f ca="1" t="shared" si="18"/>
        <v>#N/A</v>
      </c>
    </row>
    <row r="67" spans="6:18" ht="21.75" customHeight="1">
      <c r="F67">
        <v>55</v>
      </c>
      <c r="G67" s="40">
        <f>IF(ISERROR(R67),"",INDEX(Sob!A:A,'Где автомобиль'!$R67))</f>
      </c>
      <c r="H67" s="41">
        <f>IF(ISERROR(R67),"",INDEX(Sob!B:B,'Где автомобиль'!$R67))</f>
      </c>
      <c r="I67" s="41">
        <f>IF(ISERROR(R67),"",INDEX(Sob!C:C,'Где автомобиль'!$R67))</f>
      </c>
      <c r="J67" s="91">
        <f ca="1" t="shared" si="12"/>
      </c>
      <c r="K67" s="61">
        <f t="shared" si="13"/>
      </c>
      <c r="L67" s="61">
        <f t="shared" si="14"/>
      </c>
      <c r="M67" s="41">
        <f t="shared" si="15"/>
      </c>
      <c r="N67" s="79">
        <f t="shared" si="16"/>
      </c>
      <c r="O67" s="91">
        <f t="shared" si="17"/>
      </c>
      <c r="R67" t="e">
        <f ca="1" t="shared" si="18"/>
        <v>#N/A</v>
      </c>
    </row>
    <row r="68" spans="6:18" ht="21.75" customHeight="1">
      <c r="F68">
        <v>56</v>
      </c>
      <c r="G68" s="40">
        <f>IF(ISERROR(R68),"",INDEX(Sob!A:A,'Где автомобиль'!$R68))</f>
      </c>
      <c r="H68" s="41">
        <f>IF(ISERROR(R68),"",INDEX(Sob!B:B,'Где автомобиль'!$R68))</f>
      </c>
      <c r="I68" s="41">
        <f>IF(ISERROR(R68),"",INDEX(Sob!C:C,'Где автомобиль'!$R68))</f>
      </c>
      <c r="J68" s="91">
        <f ca="1" t="shared" si="12"/>
      </c>
      <c r="K68" s="61">
        <f t="shared" si="13"/>
      </c>
      <c r="L68" s="61">
        <f t="shared" si="14"/>
      </c>
      <c r="M68" s="41">
        <f t="shared" si="15"/>
      </c>
      <c r="N68" s="79">
        <f t="shared" si="16"/>
      </c>
      <c r="O68" s="91">
        <f t="shared" si="17"/>
      </c>
      <c r="R68" t="e">
        <f ca="1" t="shared" si="18"/>
        <v>#N/A</v>
      </c>
    </row>
    <row r="69" spans="6:18" ht="21.75" customHeight="1">
      <c r="F69">
        <v>57</v>
      </c>
      <c r="G69" s="40">
        <f>IF(ISERROR(R69),"",INDEX(Sob!A:A,'Где автомобиль'!$R69))</f>
      </c>
      <c r="H69" s="41">
        <f>IF(ISERROR(R69),"",INDEX(Sob!B:B,'Где автомобиль'!$R69))</f>
      </c>
      <c r="I69" s="41">
        <f>IF(ISERROR(R69),"",INDEX(Sob!C:C,'Где автомобиль'!$R69))</f>
      </c>
      <c r="J69" s="91">
        <f ca="1" t="shared" si="12"/>
      </c>
      <c r="K69" s="61">
        <f t="shared" si="13"/>
      </c>
      <c r="L69" s="61">
        <f t="shared" si="14"/>
      </c>
      <c r="M69" s="41">
        <f t="shared" si="15"/>
      </c>
      <c r="N69" s="79">
        <f t="shared" si="16"/>
      </c>
      <c r="O69" s="91">
        <f t="shared" si="17"/>
      </c>
      <c r="R69" t="e">
        <f ca="1" t="shared" si="18"/>
        <v>#N/A</v>
      </c>
    </row>
    <row r="70" spans="6:18" ht="21.75" customHeight="1">
      <c r="F70">
        <v>58</v>
      </c>
      <c r="G70" s="40">
        <f>IF(ISERROR(R70),"",INDEX(Sob!A:A,'Где автомобиль'!$R70))</f>
      </c>
      <c r="H70" s="41">
        <f>IF(ISERROR(R70),"",INDEX(Sob!B:B,'Где автомобиль'!$R70))</f>
      </c>
      <c r="I70" s="41">
        <f>IF(ISERROR(R70),"",INDEX(Sob!C:C,'Где автомобиль'!$R70))</f>
      </c>
      <c r="J70" s="91">
        <f ca="1" t="shared" si="12"/>
      </c>
      <c r="K70" s="61">
        <f t="shared" si="13"/>
      </c>
      <c r="L70" s="61">
        <f t="shared" si="14"/>
      </c>
      <c r="M70" s="41">
        <f t="shared" si="15"/>
      </c>
      <c r="N70" s="79">
        <f t="shared" si="16"/>
      </c>
      <c r="O70" s="91">
        <f t="shared" si="17"/>
      </c>
      <c r="R70" t="e">
        <f ca="1" t="shared" si="18"/>
        <v>#N/A</v>
      </c>
    </row>
    <row r="71" spans="6:18" ht="21.75" customHeight="1">
      <c r="F71">
        <v>59</v>
      </c>
      <c r="G71" s="40">
        <f>IF(ISERROR(R71),"",INDEX(Sob!A:A,'Где автомобиль'!$R71))</f>
      </c>
      <c r="H71" s="41">
        <f>IF(ISERROR(R71),"",INDEX(Sob!B:B,'Где автомобиль'!$R71))</f>
      </c>
      <c r="I71" s="41">
        <f>IF(ISERROR(R71),"",INDEX(Sob!C:C,'Где автомобиль'!$R71))</f>
      </c>
      <c r="J71" s="91">
        <f ca="1" t="shared" si="12"/>
      </c>
      <c r="K71" s="61">
        <f t="shared" si="13"/>
      </c>
      <c r="L71" s="61">
        <f t="shared" si="14"/>
      </c>
      <c r="M71" s="41">
        <f t="shared" si="15"/>
      </c>
      <c r="N71" s="79">
        <f t="shared" si="16"/>
      </c>
      <c r="O71" s="91">
        <f t="shared" si="17"/>
      </c>
      <c r="R71" t="e">
        <f ca="1" t="shared" si="18"/>
        <v>#N/A</v>
      </c>
    </row>
    <row r="72" spans="6:18" ht="21.75" customHeight="1">
      <c r="F72">
        <v>60</v>
      </c>
      <c r="G72" s="40">
        <f>IF(ISERROR(R72),"",INDEX(Sob!A:A,'Где автомобиль'!$R72))</f>
      </c>
      <c r="H72" s="41">
        <f>IF(ISERROR(R72),"",INDEX(Sob!B:B,'Где автомобиль'!$R72))</f>
      </c>
      <c r="I72" s="41">
        <f>IF(ISERROR(R72),"",INDEX(Sob!C:C,'Где автомобиль'!$R72))</f>
      </c>
      <c r="J72" s="91">
        <f ca="1" t="shared" si="12"/>
      </c>
      <c r="K72" s="61">
        <f t="shared" si="13"/>
      </c>
      <c r="L72" s="61">
        <f t="shared" si="14"/>
      </c>
      <c r="M72" s="41">
        <f t="shared" si="15"/>
      </c>
      <c r="N72" s="79">
        <f t="shared" si="16"/>
      </c>
      <c r="O72" s="91">
        <f t="shared" si="17"/>
      </c>
      <c r="R72" t="e">
        <f ca="1" t="shared" si="18"/>
        <v>#N/A</v>
      </c>
    </row>
    <row r="73" spans="6:18" ht="21.75" customHeight="1">
      <c r="F73">
        <v>61</v>
      </c>
      <c r="G73" s="40">
        <f>IF(ISERROR(R73),"",INDEX(Sob!A:A,'Где автомобиль'!$R73))</f>
      </c>
      <c r="H73" s="41">
        <f>IF(ISERROR(R73),"",INDEX(Sob!B:B,'Где автомобиль'!$R73))</f>
      </c>
      <c r="I73" s="41">
        <f>IF(ISERROR(R73),"",INDEX(Sob!C:C,'Где автомобиль'!$R73))</f>
      </c>
      <c r="J73" s="91">
        <f ca="1" t="shared" si="12"/>
      </c>
      <c r="K73" s="61">
        <f t="shared" si="13"/>
      </c>
      <c r="L73" s="61">
        <f t="shared" si="14"/>
      </c>
      <c r="M73" s="41">
        <f t="shared" si="15"/>
      </c>
      <c r="N73" s="79">
        <f t="shared" si="16"/>
      </c>
      <c r="O73" s="91">
        <f t="shared" si="17"/>
      </c>
      <c r="R73" t="e">
        <f ca="1" t="shared" si="18"/>
        <v>#N/A</v>
      </c>
    </row>
    <row r="74" spans="6:18" ht="21.75" customHeight="1">
      <c r="F74">
        <v>62</v>
      </c>
      <c r="G74" s="40">
        <f>IF(ISERROR(R74),"",INDEX(Sob!A:A,'Где автомобиль'!$R74))</f>
      </c>
      <c r="H74" s="41">
        <f>IF(ISERROR(R74),"",INDEX(Sob!B:B,'Где автомобиль'!$R74))</f>
      </c>
      <c r="I74" s="41">
        <f>IF(ISERROR(R74),"",INDEX(Sob!C:C,'Где автомобиль'!$R74))</f>
      </c>
      <c r="J74" s="91">
        <f ca="1" t="shared" si="12"/>
      </c>
      <c r="K74" s="61">
        <f t="shared" si="13"/>
      </c>
      <c r="L74" s="61">
        <f t="shared" si="14"/>
      </c>
      <c r="M74" s="41">
        <f t="shared" si="15"/>
      </c>
      <c r="N74" s="79">
        <f t="shared" si="16"/>
      </c>
      <c r="O74" s="91">
        <f t="shared" si="17"/>
      </c>
      <c r="R74" t="e">
        <f ca="1" t="shared" si="18"/>
        <v>#N/A</v>
      </c>
    </row>
    <row r="75" spans="6:18" ht="21.75" customHeight="1">
      <c r="F75">
        <v>63</v>
      </c>
      <c r="G75" s="40">
        <f>IF(ISERROR(R75),"",INDEX(Sob!A:A,'Где автомобиль'!$R75))</f>
      </c>
      <c r="H75" s="41">
        <f>IF(ISERROR(R75),"",INDEX(Sob!B:B,'Где автомобиль'!$R75))</f>
      </c>
      <c r="I75" s="41">
        <f>IF(ISERROR(R75),"",INDEX(Sob!C:C,'Где автомобиль'!$R75))</f>
      </c>
      <c r="J75" s="91">
        <f ca="1" t="shared" si="12"/>
      </c>
      <c r="K75" s="61">
        <f t="shared" si="13"/>
      </c>
      <c r="L75" s="61">
        <f t="shared" si="14"/>
      </c>
      <c r="M75" s="41">
        <f t="shared" si="15"/>
      </c>
      <c r="N75" s="79">
        <f t="shared" si="16"/>
      </c>
      <c r="O75" s="91">
        <f t="shared" si="17"/>
      </c>
      <c r="R75" t="e">
        <f ca="1" t="shared" si="18"/>
        <v>#N/A</v>
      </c>
    </row>
    <row r="76" spans="6:18" ht="21.75" customHeight="1">
      <c r="F76">
        <v>64</v>
      </c>
      <c r="G76" s="40">
        <f>IF(ISERROR(R76),"",INDEX(Sob!A:A,'Где автомобиль'!$R76))</f>
      </c>
      <c r="H76" s="41">
        <f>IF(ISERROR(R76),"",INDEX(Sob!B:B,'Где автомобиль'!$R76))</f>
      </c>
      <c r="I76" s="41">
        <f>IF(ISERROR(R76),"",INDEX(Sob!C:C,'Где автомобиль'!$R76))</f>
      </c>
      <c r="J76" s="91">
        <f ca="1" t="shared" si="12"/>
      </c>
      <c r="K76" s="61">
        <f t="shared" si="13"/>
      </c>
      <c r="L76" s="61">
        <f t="shared" si="14"/>
      </c>
      <c r="M76" s="41">
        <f t="shared" si="15"/>
      </c>
      <c r="N76" s="79">
        <f t="shared" si="16"/>
      </c>
      <c r="O76" s="91">
        <f t="shared" si="17"/>
      </c>
      <c r="R76" t="e">
        <f ca="1" t="shared" si="18"/>
        <v>#N/A</v>
      </c>
    </row>
    <row r="77" spans="6:18" ht="21.75" customHeight="1">
      <c r="F77">
        <v>65</v>
      </c>
      <c r="G77" s="40">
        <f>IF(ISERROR(R77),"",INDEX(Sob!A:A,'Где автомобиль'!$R77))</f>
      </c>
      <c r="H77" s="41">
        <f>IF(ISERROR(R77),"",INDEX(Sob!B:B,'Где автомобиль'!$R77))</f>
      </c>
      <c r="I77" s="41">
        <f>IF(ISERROR(R77),"",INDEX(Sob!C:C,'Где автомобиль'!$R77))</f>
      </c>
      <c r="J77" s="91">
        <f aca="true" ca="1" t="shared" si="19" ref="J77:J108">IF(ISERROR(R77),"",DMAX(Sob,1,INDIRECT("R1C"&amp;F77+19&amp;":R2C"&amp;F77+19,0)))</f>
      </c>
      <c r="K77" s="61">
        <f aca="true" t="shared" si="20" ref="K77:K108">IF(ISERROR(R77),"",VLOOKUP(I77,Auto,2,0))</f>
      </c>
      <c r="L77" s="61">
        <f aca="true" t="shared" si="21" ref="L77:L108">IF(ISERROR(R77),"",VLOOKUP(I77,Auto,3,0))</f>
      </c>
      <c r="M77" s="41">
        <f aca="true" t="shared" si="22" ref="M77:M108">IF(ISERROR(R77),"",VLOOKUP(J77,Sob,4,0))</f>
      </c>
      <c r="N77" s="79">
        <f aca="true" t="shared" si="23" ref="N77:N108">IF(ISERROR(R77),"",VLOOKUP(J77,Sob,6,0))</f>
      </c>
      <c r="O77" s="91">
        <f aca="true" t="shared" si="24" ref="O77:O108">IF(ISERROR(R77),"",VLOOKUP(J77,Sob,8,0))</f>
      </c>
      <c r="R77" t="e">
        <f ca="1" t="shared" si="18"/>
        <v>#N/A</v>
      </c>
    </row>
    <row r="78" spans="6:18" ht="21.75" customHeight="1">
      <c r="F78">
        <v>66</v>
      </c>
      <c r="G78" s="40">
        <f>IF(ISERROR(R78),"",INDEX(Sob!A:A,'Где автомобиль'!$R78))</f>
      </c>
      <c r="H78" s="41">
        <f>IF(ISERROR(R78),"",INDEX(Sob!B:B,'Где автомобиль'!$R78))</f>
      </c>
      <c r="I78" s="41">
        <f>IF(ISERROR(R78),"",INDEX(Sob!C:C,'Где автомобиль'!$R78))</f>
      </c>
      <c r="J78" s="91">
        <f ca="1" t="shared" si="19"/>
      </c>
      <c r="K78" s="61">
        <f t="shared" si="20"/>
      </c>
      <c r="L78" s="61">
        <f t="shared" si="21"/>
      </c>
      <c r="M78" s="41">
        <f t="shared" si="22"/>
      </c>
      <c r="N78" s="79">
        <f t="shared" si="23"/>
      </c>
      <c r="O78" s="91">
        <f t="shared" si="24"/>
      </c>
      <c r="R78" t="e">
        <f aca="true" ca="1" t="shared" si="25" ref="R78:R109">MATCH($P$2,INDIRECT("sob!d"&amp;R77+1&amp;":d1000"),0)+R77</f>
        <v>#N/A</v>
      </c>
    </row>
    <row r="79" spans="6:18" ht="21.75" customHeight="1">
      <c r="F79">
        <v>67</v>
      </c>
      <c r="G79" s="40">
        <f>IF(ISERROR(R79),"",INDEX(Sob!A:A,'Где автомобиль'!$R79))</f>
      </c>
      <c r="H79" s="41">
        <f>IF(ISERROR(R79),"",INDEX(Sob!B:B,'Где автомобиль'!$R79))</f>
      </c>
      <c r="I79" s="41">
        <f>IF(ISERROR(R79),"",INDEX(Sob!C:C,'Где автомобиль'!$R79))</f>
      </c>
      <c r="J79" s="91">
        <f ca="1" t="shared" si="19"/>
      </c>
      <c r="K79" s="61">
        <f t="shared" si="20"/>
      </c>
      <c r="L79" s="61">
        <f t="shared" si="21"/>
      </c>
      <c r="M79" s="41">
        <f t="shared" si="22"/>
      </c>
      <c r="N79" s="79">
        <f t="shared" si="23"/>
      </c>
      <c r="O79" s="91">
        <f t="shared" si="24"/>
      </c>
      <c r="R79" t="e">
        <f ca="1" t="shared" si="25"/>
        <v>#N/A</v>
      </c>
    </row>
    <row r="80" spans="6:18" ht="21.75" customHeight="1">
      <c r="F80">
        <v>68</v>
      </c>
      <c r="G80" s="40">
        <f>IF(ISERROR(R80),"",INDEX(Sob!A:A,'Где автомобиль'!$R80))</f>
      </c>
      <c r="H80" s="41">
        <f>IF(ISERROR(R80),"",INDEX(Sob!B:B,'Где автомобиль'!$R80))</f>
      </c>
      <c r="I80" s="41">
        <f>IF(ISERROR(R80),"",INDEX(Sob!C:C,'Где автомобиль'!$R80))</f>
      </c>
      <c r="J80" s="91">
        <f ca="1" t="shared" si="19"/>
      </c>
      <c r="K80" s="61">
        <f t="shared" si="20"/>
      </c>
      <c r="L80" s="61">
        <f t="shared" si="21"/>
      </c>
      <c r="M80" s="41">
        <f t="shared" si="22"/>
      </c>
      <c r="N80" s="79">
        <f t="shared" si="23"/>
      </c>
      <c r="O80" s="91">
        <f t="shared" si="24"/>
      </c>
      <c r="R80" t="e">
        <f ca="1" t="shared" si="25"/>
        <v>#N/A</v>
      </c>
    </row>
    <row r="81" spans="6:18" ht="21.75" customHeight="1">
      <c r="F81">
        <v>69</v>
      </c>
      <c r="G81" s="40">
        <f>IF(ISERROR(R81),"",INDEX(Sob!A:A,'Где автомобиль'!$R81))</f>
      </c>
      <c r="H81" s="41">
        <f>IF(ISERROR(R81),"",INDEX(Sob!B:B,'Где автомобиль'!$R81))</f>
      </c>
      <c r="I81" s="41">
        <f>IF(ISERROR(R81),"",INDEX(Sob!C:C,'Где автомобиль'!$R81))</f>
      </c>
      <c r="J81" s="91">
        <f ca="1" t="shared" si="19"/>
      </c>
      <c r="K81" s="61">
        <f t="shared" si="20"/>
      </c>
      <c r="L81" s="61">
        <f t="shared" si="21"/>
      </c>
      <c r="M81" s="41">
        <f t="shared" si="22"/>
      </c>
      <c r="N81" s="79">
        <f t="shared" si="23"/>
      </c>
      <c r="O81" s="91">
        <f t="shared" si="24"/>
      </c>
      <c r="R81" t="e">
        <f ca="1" t="shared" si="25"/>
        <v>#N/A</v>
      </c>
    </row>
    <row r="82" spans="6:18" ht="21.75" customHeight="1">
      <c r="F82">
        <v>70</v>
      </c>
      <c r="G82" s="40">
        <f>IF(ISERROR(R82),"",INDEX(Sob!A:A,'Где автомобиль'!$R82))</f>
      </c>
      <c r="H82" s="41">
        <f>IF(ISERROR(R82),"",INDEX(Sob!B:B,'Где автомобиль'!$R82))</f>
      </c>
      <c r="I82" s="41">
        <f>IF(ISERROR(R82),"",INDEX(Sob!C:C,'Где автомобиль'!$R82))</f>
      </c>
      <c r="J82" s="91">
        <f ca="1" t="shared" si="19"/>
      </c>
      <c r="K82" s="61">
        <f t="shared" si="20"/>
      </c>
      <c r="L82" s="61">
        <f t="shared" si="21"/>
      </c>
      <c r="M82" s="41">
        <f t="shared" si="22"/>
      </c>
      <c r="N82" s="79">
        <f t="shared" si="23"/>
      </c>
      <c r="O82" s="91">
        <f t="shared" si="24"/>
      </c>
      <c r="R82" t="e">
        <f ca="1" t="shared" si="25"/>
        <v>#N/A</v>
      </c>
    </row>
    <row r="83" spans="6:18" ht="21.75" customHeight="1">
      <c r="F83">
        <v>71</v>
      </c>
      <c r="G83" s="40">
        <f>IF(ISERROR(R83),"",INDEX(Sob!A:A,'Где автомобиль'!$R83))</f>
      </c>
      <c r="H83" s="41">
        <f>IF(ISERROR(R83),"",INDEX(Sob!B:B,'Где автомобиль'!$R83))</f>
      </c>
      <c r="I83" s="41">
        <f>IF(ISERROR(R83),"",INDEX(Sob!C:C,'Где автомобиль'!$R83))</f>
      </c>
      <c r="J83" s="91">
        <f ca="1" t="shared" si="19"/>
      </c>
      <c r="K83" s="61">
        <f t="shared" si="20"/>
      </c>
      <c r="L83" s="61">
        <f t="shared" si="21"/>
      </c>
      <c r="M83" s="41">
        <f t="shared" si="22"/>
      </c>
      <c r="N83" s="79">
        <f t="shared" si="23"/>
      </c>
      <c r="O83" s="91">
        <f t="shared" si="24"/>
      </c>
      <c r="R83" t="e">
        <f ca="1" t="shared" si="25"/>
        <v>#N/A</v>
      </c>
    </row>
    <row r="84" spans="6:18" ht="21.75" customHeight="1">
      <c r="F84">
        <v>72</v>
      </c>
      <c r="G84" s="40">
        <f>IF(ISERROR(R84),"",INDEX(Sob!A:A,'Где автомобиль'!$R84))</f>
      </c>
      <c r="H84" s="41">
        <f>IF(ISERROR(R84),"",INDEX(Sob!B:B,'Где автомобиль'!$R84))</f>
      </c>
      <c r="I84" s="41">
        <f>IF(ISERROR(R84),"",INDEX(Sob!C:C,'Где автомобиль'!$R84))</f>
      </c>
      <c r="J84" s="91">
        <f ca="1" t="shared" si="19"/>
      </c>
      <c r="K84" s="61">
        <f t="shared" si="20"/>
      </c>
      <c r="L84" s="61">
        <f t="shared" si="21"/>
      </c>
      <c r="M84" s="41">
        <f t="shared" si="22"/>
      </c>
      <c r="N84" s="79">
        <f t="shared" si="23"/>
      </c>
      <c r="O84" s="91">
        <f t="shared" si="24"/>
      </c>
      <c r="R84" t="e">
        <f ca="1" t="shared" si="25"/>
        <v>#N/A</v>
      </c>
    </row>
    <row r="85" spans="6:18" ht="21.75" customHeight="1">
      <c r="F85">
        <v>73</v>
      </c>
      <c r="G85" s="40">
        <f>IF(ISERROR(R85),"",INDEX(Sob!A:A,'Где автомобиль'!$R85))</f>
      </c>
      <c r="H85" s="41">
        <f>IF(ISERROR(R85),"",INDEX(Sob!B:B,'Где автомобиль'!$R85))</f>
      </c>
      <c r="I85" s="41">
        <f>IF(ISERROR(R85),"",INDEX(Sob!C:C,'Где автомобиль'!$R85))</f>
      </c>
      <c r="J85" s="91">
        <f ca="1" t="shared" si="19"/>
      </c>
      <c r="K85" s="61">
        <f t="shared" si="20"/>
      </c>
      <c r="L85" s="61">
        <f t="shared" si="21"/>
      </c>
      <c r="M85" s="41">
        <f t="shared" si="22"/>
      </c>
      <c r="N85" s="79">
        <f t="shared" si="23"/>
      </c>
      <c r="O85" s="91">
        <f t="shared" si="24"/>
      </c>
      <c r="R85" t="e">
        <f ca="1" t="shared" si="25"/>
        <v>#N/A</v>
      </c>
    </row>
    <row r="86" spans="6:18" ht="21.75" customHeight="1">
      <c r="F86">
        <v>74</v>
      </c>
      <c r="G86" s="40">
        <f>IF(ISERROR(R86),"",INDEX(Sob!A:A,'Где автомобиль'!$R86))</f>
      </c>
      <c r="H86" s="41">
        <f>IF(ISERROR(R86),"",INDEX(Sob!B:B,'Где автомобиль'!$R86))</f>
      </c>
      <c r="I86" s="41">
        <f>IF(ISERROR(R86),"",INDEX(Sob!C:C,'Где автомобиль'!$R86))</f>
      </c>
      <c r="J86" s="91">
        <f ca="1" t="shared" si="19"/>
      </c>
      <c r="K86" s="61">
        <f t="shared" si="20"/>
      </c>
      <c r="L86" s="61">
        <f t="shared" si="21"/>
      </c>
      <c r="M86" s="41">
        <f t="shared" si="22"/>
      </c>
      <c r="N86" s="79">
        <f t="shared" si="23"/>
      </c>
      <c r="O86" s="91">
        <f t="shared" si="24"/>
      </c>
      <c r="R86" t="e">
        <f ca="1" t="shared" si="25"/>
        <v>#N/A</v>
      </c>
    </row>
    <row r="87" spans="6:18" ht="21.75" customHeight="1">
      <c r="F87">
        <v>75</v>
      </c>
      <c r="G87" s="40">
        <f>IF(ISERROR(R87),"",INDEX(Sob!A:A,'Где автомобиль'!$R87))</f>
      </c>
      <c r="H87" s="41">
        <f>IF(ISERROR(R87),"",INDEX(Sob!B:B,'Где автомобиль'!$R87))</f>
      </c>
      <c r="I87" s="41">
        <f>IF(ISERROR(R87),"",INDEX(Sob!C:C,'Где автомобиль'!$R87))</f>
      </c>
      <c r="J87" s="91">
        <f ca="1" t="shared" si="19"/>
      </c>
      <c r="K87" s="61">
        <f t="shared" si="20"/>
      </c>
      <c r="L87" s="61">
        <f t="shared" si="21"/>
      </c>
      <c r="M87" s="41">
        <f t="shared" si="22"/>
      </c>
      <c r="N87" s="79">
        <f t="shared" si="23"/>
      </c>
      <c r="O87" s="91">
        <f t="shared" si="24"/>
      </c>
      <c r="R87" t="e">
        <f ca="1" t="shared" si="25"/>
        <v>#N/A</v>
      </c>
    </row>
    <row r="88" spans="6:18" ht="21.75" customHeight="1">
      <c r="F88">
        <v>76</v>
      </c>
      <c r="G88" s="40">
        <f>IF(ISERROR(R88),"",INDEX(Sob!A:A,'Где автомобиль'!$R88))</f>
      </c>
      <c r="H88" s="41">
        <f>IF(ISERROR(R88),"",INDEX(Sob!B:B,'Где автомобиль'!$R88))</f>
      </c>
      <c r="I88" s="41">
        <f>IF(ISERROR(R88),"",INDEX(Sob!C:C,'Где автомобиль'!$R88))</f>
      </c>
      <c r="J88" s="91">
        <f ca="1" t="shared" si="19"/>
      </c>
      <c r="K88" s="61">
        <f t="shared" si="20"/>
      </c>
      <c r="L88" s="61">
        <f t="shared" si="21"/>
      </c>
      <c r="M88" s="41">
        <f t="shared" si="22"/>
      </c>
      <c r="N88" s="79">
        <f t="shared" si="23"/>
      </c>
      <c r="O88" s="91">
        <f t="shared" si="24"/>
      </c>
      <c r="R88" t="e">
        <f ca="1" t="shared" si="25"/>
        <v>#N/A</v>
      </c>
    </row>
    <row r="89" spans="6:18" ht="21.75" customHeight="1">
      <c r="F89">
        <v>77</v>
      </c>
      <c r="G89" s="40">
        <f>IF(ISERROR(R89),"",INDEX(Sob!A:A,'Где автомобиль'!$R89))</f>
      </c>
      <c r="H89" s="41">
        <f>IF(ISERROR(R89),"",INDEX(Sob!B:B,'Где автомобиль'!$R89))</f>
      </c>
      <c r="I89" s="41">
        <f>IF(ISERROR(R89),"",INDEX(Sob!C:C,'Где автомобиль'!$R89))</f>
      </c>
      <c r="J89" s="91">
        <f ca="1" t="shared" si="19"/>
      </c>
      <c r="K89" s="61">
        <f t="shared" si="20"/>
      </c>
      <c r="L89" s="61">
        <f t="shared" si="21"/>
      </c>
      <c r="M89" s="41">
        <f t="shared" si="22"/>
      </c>
      <c r="N89" s="79">
        <f t="shared" si="23"/>
      </c>
      <c r="O89" s="91">
        <f t="shared" si="24"/>
      </c>
      <c r="R89" t="e">
        <f ca="1" t="shared" si="25"/>
        <v>#N/A</v>
      </c>
    </row>
    <row r="90" spans="6:18" ht="21.75" customHeight="1">
      <c r="F90">
        <v>78</v>
      </c>
      <c r="G90" s="40">
        <f>IF(ISERROR(R90),"",INDEX(Sob!A:A,'Где автомобиль'!$R90))</f>
      </c>
      <c r="H90" s="41">
        <f>IF(ISERROR(R90),"",INDEX(Sob!B:B,'Где автомобиль'!$R90))</f>
      </c>
      <c r="I90" s="41">
        <f>IF(ISERROR(R90),"",INDEX(Sob!C:C,'Где автомобиль'!$R90))</f>
      </c>
      <c r="J90" s="91">
        <f ca="1" t="shared" si="19"/>
      </c>
      <c r="K90" s="61">
        <f t="shared" si="20"/>
      </c>
      <c r="L90" s="61">
        <f t="shared" si="21"/>
      </c>
      <c r="M90" s="41">
        <f t="shared" si="22"/>
      </c>
      <c r="N90" s="79">
        <f t="shared" si="23"/>
      </c>
      <c r="O90" s="91">
        <f t="shared" si="24"/>
      </c>
      <c r="R90" t="e">
        <f ca="1" t="shared" si="25"/>
        <v>#N/A</v>
      </c>
    </row>
    <row r="91" spans="6:18" ht="21.75" customHeight="1">
      <c r="F91">
        <v>79</v>
      </c>
      <c r="G91" s="40">
        <f>IF(ISERROR(R91),"",INDEX(Sob!A:A,'Где автомобиль'!$R91))</f>
      </c>
      <c r="H91" s="41">
        <f>IF(ISERROR(R91),"",INDEX(Sob!B:B,'Где автомобиль'!$R91))</f>
      </c>
      <c r="I91" s="41">
        <f>IF(ISERROR(R91),"",INDEX(Sob!C:C,'Где автомобиль'!$R91))</f>
      </c>
      <c r="J91" s="91">
        <f ca="1" t="shared" si="19"/>
      </c>
      <c r="K91" s="61">
        <f t="shared" si="20"/>
      </c>
      <c r="L91" s="61">
        <f t="shared" si="21"/>
      </c>
      <c r="M91" s="41">
        <f t="shared" si="22"/>
      </c>
      <c r="N91" s="79">
        <f t="shared" si="23"/>
      </c>
      <c r="O91" s="91">
        <f t="shared" si="24"/>
      </c>
      <c r="R91" t="e">
        <f ca="1" t="shared" si="25"/>
        <v>#N/A</v>
      </c>
    </row>
    <row r="92" spans="6:18" ht="21.75" customHeight="1">
      <c r="F92">
        <v>80</v>
      </c>
      <c r="G92" s="40">
        <f>IF(ISERROR(R92),"",INDEX(Sob!A:A,'Где автомобиль'!$R92))</f>
      </c>
      <c r="H92" s="41">
        <f>IF(ISERROR(R92),"",INDEX(Sob!B:B,'Где автомобиль'!$R92))</f>
      </c>
      <c r="I92" s="41">
        <f>IF(ISERROR(R92),"",INDEX(Sob!C:C,'Где автомобиль'!$R92))</f>
      </c>
      <c r="J92" s="91">
        <f ca="1" t="shared" si="19"/>
      </c>
      <c r="K92" s="61">
        <f t="shared" si="20"/>
      </c>
      <c r="L92" s="61">
        <f t="shared" si="21"/>
      </c>
      <c r="M92" s="41">
        <f t="shared" si="22"/>
      </c>
      <c r="N92" s="79">
        <f t="shared" si="23"/>
      </c>
      <c r="O92" s="91">
        <f t="shared" si="24"/>
      </c>
      <c r="R92" t="e">
        <f ca="1" t="shared" si="25"/>
        <v>#N/A</v>
      </c>
    </row>
    <row r="93" spans="6:18" ht="21.75" customHeight="1">
      <c r="F93">
        <v>81</v>
      </c>
      <c r="G93" s="40">
        <f>IF(ISERROR(R93),"",INDEX(Sob!A:A,'Где автомобиль'!$R93))</f>
      </c>
      <c r="H93" s="41">
        <f>IF(ISERROR(R93),"",INDEX(Sob!B:B,'Где автомобиль'!$R93))</f>
      </c>
      <c r="I93" s="41">
        <f>IF(ISERROR(R93),"",INDEX(Sob!C:C,'Где автомобиль'!$R93))</f>
      </c>
      <c r="J93" s="91">
        <f ca="1" t="shared" si="19"/>
      </c>
      <c r="K93" s="61">
        <f t="shared" si="20"/>
      </c>
      <c r="L93" s="61">
        <f t="shared" si="21"/>
      </c>
      <c r="M93" s="41">
        <f t="shared" si="22"/>
      </c>
      <c r="N93" s="79">
        <f t="shared" si="23"/>
      </c>
      <c r="O93" s="91">
        <f t="shared" si="24"/>
      </c>
      <c r="R93" t="e">
        <f ca="1" t="shared" si="25"/>
        <v>#N/A</v>
      </c>
    </row>
    <row r="94" spans="6:18" ht="21.75" customHeight="1">
      <c r="F94">
        <v>82</v>
      </c>
      <c r="G94" s="40">
        <f>IF(ISERROR(R94),"",INDEX(Sob!A:A,'Где автомобиль'!$R94))</f>
      </c>
      <c r="H94" s="41">
        <f>IF(ISERROR(R94),"",INDEX(Sob!B:B,'Где автомобиль'!$R94))</f>
      </c>
      <c r="I94" s="41">
        <f>IF(ISERROR(R94),"",INDEX(Sob!C:C,'Где автомобиль'!$R94))</f>
      </c>
      <c r="J94" s="91">
        <f ca="1" t="shared" si="19"/>
      </c>
      <c r="K94" s="61">
        <f t="shared" si="20"/>
      </c>
      <c r="L94" s="61">
        <f t="shared" si="21"/>
      </c>
      <c r="M94" s="41">
        <f t="shared" si="22"/>
      </c>
      <c r="N94" s="79">
        <f t="shared" si="23"/>
      </c>
      <c r="O94" s="91">
        <f t="shared" si="24"/>
      </c>
      <c r="R94" t="e">
        <f ca="1" t="shared" si="25"/>
        <v>#N/A</v>
      </c>
    </row>
    <row r="95" spans="6:18" ht="21.75" customHeight="1">
      <c r="F95">
        <v>83</v>
      </c>
      <c r="G95" s="40">
        <f>IF(ISERROR(R95),"",INDEX(Sob!A:A,'Где автомобиль'!$R95))</f>
      </c>
      <c r="H95" s="41">
        <f>IF(ISERROR(R95),"",INDEX(Sob!B:B,'Где автомобиль'!$R95))</f>
      </c>
      <c r="I95" s="41">
        <f>IF(ISERROR(R95),"",INDEX(Sob!C:C,'Где автомобиль'!$R95))</f>
      </c>
      <c r="J95" s="91">
        <f ca="1" t="shared" si="19"/>
      </c>
      <c r="K95" s="61">
        <f t="shared" si="20"/>
      </c>
      <c r="L95" s="61">
        <f t="shared" si="21"/>
      </c>
      <c r="M95" s="41">
        <f t="shared" si="22"/>
      </c>
      <c r="N95" s="79">
        <f t="shared" si="23"/>
      </c>
      <c r="O95" s="91">
        <f t="shared" si="24"/>
      </c>
      <c r="R95" t="e">
        <f ca="1" t="shared" si="25"/>
        <v>#N/A</v>
      </c>
    </row>
    <row r="96" spans="6:18" ht="21.75" customHeight="1">
      <c r="F96">
        <v>84</v>
      </c>
      <c r="G96" s="40">
        <f>IF(ISERROR(R96),"",INDEX(Sob!A:A,'Где автомобиль'!$R96))</f>
      </c>
      <c r="H96" s="41">
        <f>IF(ISERROR(R96),"",INDEX(Sob!B:B,'Где автомобиль'!$R96))</f>
      </c>
      <c r="I96" s="41">
        <f>IF(ISERROR(R96),"",INDEX(Sob!C:C,'Где автомобиль'!$R96))</f>
      </c>
      <c r="J96" s="91">
        <f ca="1" t="shared" si="19"/>
      </c>
      <c r="K96" s="61">
        <f t="shared" si="20"/>
      </c>
      <c r="L96" s="61">
        <f t="shared" si="21"/>
      </c>
      <c r="M96" s="41">
        <f t="shared" si="22"/>
      </c>
      <c r="N96" s="79">
        <f t="shared" si="23"/>
      </c>
      <c r="O96" s="91">
        <f t="shared" si="24"/>
      </c>
      <c r="R96" t="e">
        <f ca="1" t="shared" si="25"/>
        <v>#N/A</v>
      </c>
    </row>
    <row r="97" spans="6:18" ht="21.75" customHeight="1">
      <c r="F97">
        <v>85</v>
      </c>
      <c r="G97" s="40">
        <f>IF(ISERROR(R97),"",INDEX(Sob!A:A,'Где автомобиль'!$R97))</f>
      </c>
      <c r="H97" s="41">
        <f>IF(ISERROR(R97),"",INDEX(Sob!B:B,'Где автомобиль'!$R97))</f>
      </c>
      <c r="I97" s="41">
        <f>IF(ISERROR(R97),"",INDEX(Sob!C:C,'Где автомобиль'!$R97))</f>
      </c>
      <c r="J97" s="91">
        <f ca="1" t="shared" si="19"/>
      </c>
      <c r="K97" s="61">
        <f t="shared" si="20"/>
      </c>
      <c r="L97" s="61">
        <f t="shared" si="21"/>
      </c>
      <c r="M97" s="41">
        <f t="shared" si="22"/>
      </c>
      <c r="N97" s="79">
        <f t="shared" si="23"/>
      </c>
      <c r="O97" s="91">
        <f t="shared" si="24"/>
      </c>
      <c r="R97" t="e">
        <f ca="1" t="shared" si="25"/>
        <v>#N/A</v>
      </c>
    </row>
    <row r="98" spans="6:18" ht="21.75" customHeight="1">
      <c r="F98">
        <v>86</v>
      </c>
      <c r="G98" s="40">
        <f>IF(ISERROR(R98),"",INDEX(Sob!A:A,'Где автомобиль'!$R98))</f>
      </c>
      <c r="H98" s="41">
        <f>IF(ISERROR(R98),"",INDEX(Sob!B:B,'Где автомобиль'!$R98))</f>
      </c>
      <c r="I98" s="41">
        <f>IF(ISERROR(R98),"",INDEX(Sob!C:C,'Где автомобиль'!$R98))</f>
      </c>
      <c r="J98" s="91">
        <f ca="1" t="shared" si="19"/>
      </c>
      <c r="K98" s="61">
        <f t="shared" si="20"/>
      </c>
      <c r="L98" s="61">
        <f t="shared" si="21"/>
      </c>
      <c r="M98" s="41">
        <f t="shared" si="22"/>
      </c>
      <c r="N98" s="79">
        <f t="shared" si="23"/>
      </c>
      <c r="O98" s="91">
        <f t="shared" si="24"/>
      </c>
      <c r="R98" t="e">
        <f ca="1" t="shared" si="25"/>
        <v>#N/A</v>
      </c>
    </row>
    <row r="99" spans="6:18" ht="21.75" customHeight="1">
      <c r="F99">
        <v>87</v>
      </c>
      <c r="G99" s="40">
        <f>IF(ISERROR(R99),"",INDEX(Sob!A:A,'Где автомобиль'!$R99))</f>
      </c>
      <c r="H99" s="41">
        <f>IF(ISERROR(R99),"",INDEX(Sob!B:B,'Где автомобиль'!$R99))</f>
      </c>
      <c r="I99" s="41">
        <f>IF(ISERROR(R99),"",INDEX(Sob!C:C,'Где автомобиль'!$R99))</f>
      </c>
      <c r="J99" s="91">
        <f ca="1" t="shared" si="19"/>
      </c>
      <c r="K99" s="61">
        <f t="shared" si="20"/>
      </c>
      <c r="L99" s="61">
        <f t="shared" si="21"/>
      </c>
      <c r="M99" s="41">
        <f t="shared" si="22"/>
      </c>
      <c r="N99" s="79">
        <f t="shared" si="23"/>
      </c>
      <c r="O99" s="91">
        <f t="shared" si="24"/>
      </c>
      <c r="R99" t="e">
        <f ca="1" t="shared" si="25"/>
        <v>#N/A</v>
      </c>
    </row>
    <row r="100" spans="6:18" ht="21.75" customHeight="1">
      <c r="F100">
        <v>88</v>
      </c>
      <c r="G100" s="40">
        <f>IF(ISERROR(R100),"",INDEX(Sob!A:A,'Где автомобиль'!$R100))</f>
      </c>
      <c r="H100" s="41">
        <f>IF(ISERROR(R100),"",INDEX(Sob!B:B,'Где автомобиль'!$R100))</f>
      </c>
      <c r="I100" s="41">
        <f>IF(ISERROR(R100),"",INDEX(Sob!C:C,'Где автомобиль'!$R100))</f>
      </c>
      <c r="J100" s="91">
        <f ca="1" t="shared" si="19"/>
      </c>
      <c r="K100" s="61">
        <f t="shared" si="20"/>
      </c>
      <c r="L100" s="61">
        <f t="shared" si="21"/>
      </c>
      <c r="M100" s="41">
        <f t="shared" si="22"/>
      </c>
      <c r="N100" s="79">
        <f t="shared" si="23"/>
      </c>
      <c r="O100" s="91">
        <f t="shared" si="24"/>
      </c>
      <c r="R100" t="e">
        <f ca="1" t="shared" si="25"/>
        <v>#N/A</v>
      </c>
    </row>
    <row r="101" spans="6:18" ht="21.75" customHeight="1">
      <c r="F101">
        <v>89</v>
      </c>
      <c r="G101" s="40">
        <f>IF(ISERROR(R101),"",INDEX(Sob!A:A,'Где автомобиль'!$R101))</f>
      </c>
      <c r="H101" s="41">
        <f>IF(ISERROR(R101),"",INDEX(Sob!B:B,'Где автомобиль'!$R101))</f>
      </c>
      <c r="I101" s="41">
        <f>IF(ISERROR(R101),"",INDEX(Sob!C:C,'Где автомобиль'!$R101))</f>
      </c>
      <c r="J101" s="91">
        <f ca="1" t="shared" si="19"/>
      </c>
      <c r="K101" s="61">
        <f t="shared" si="20"/>
      </c>
      <c r="L101" s="61">
        <f t="shared" si="21"/>
      </c>
      <c r="M101" s="41">
        <f t="shared" si="22"/>
      </c>
      <c r="N101" s="79">
        <f t="shared" si="23"/>
      </c>
      <c r="O101" s="91">
        <f t="shared" si="24"/>
      </c>
      <c r="R101" t="e">
        <f ca="1" t="shared" si="25"/>
        <v>#N/A</v>
      </c>
    </row>
    <row r="102" spans="6:18" ht="21.75" customHeight="1">
      <c r="F102">
        <v>90</v>
      </c>
      <c r="G102" s="40">
        <f>IF(ISERROR(R102),"",INDEX(Sob!A:A,'Где автомобиль'!$R102))</f>
      </c>
      <c r="H102" s="41">
        <f>IF(ISERROR(R102),"",INDEX(Sob!B:B,'Где автомобиль'!$R102))</f>
      </c>
      <c r="I102" s="41">
        <f>IF(ISERROR(R102),"",INDEX(Sob!C:C,'Где автомобиль'!$R102))</f>
      </c>
      <c r="J102" s="91">
        <f ca="1" t="shared" si="19"/>
      </c>
      <c r="K102" s="61">
        <f t="shared" si="20"/>
      </c>
      <c r="L102" s="61">
        <f t="shared" si="21"/>
      </c>
      <c r="M102" s="41">
        <f t="shared" si="22"/>
      </c>
      <c r="N102" s="79">
        <f t="shared" si="23"/>
      </c>
      <c r="O102" s="91">
        <f t="shared" si="24"/>
      </c>
      <c r="R102" t="e">
        <f ca="1" t="shared" si="25"/>
        <v>#N/A</v>
      </c>
    </row>
    <row r="103" spans="6:18" ht="21.75" customHeight="1">
      <c r="F103">
        <v>91</v>
      </c>
      <c r="G103" s="40">
        <f>IF(ISERROR(R103),"",INDEX(Sob!A:A,'Где автомобиль'!$R103))</f>
      </c>
      <c r="H103" s="41">
        <f>IF(ISERROR(R103),"",INDEX(Sob!B:B,'Где автомобиль'!$R103))</f>
      </c>
      <c r="I103" s="41">
        <f>IF(ISERROR(R103),"",INDEX(Sob!C:C,'Где автомобиль'!$R103))</f>
      </c>
      <c r="J103" s="91">
        <f ca="1" t="shared" si="19"/>
      </c>
      <c r="K103" s="61">
        <f t="shared" si="20"/>
      </c>
      <c r="L103" s="61">
        <f t="shared" si="21"/>
      </c>
      <c r="M103" s="41">
        <f t="shared" si="22"/>
      </c>
      <c r="N103" s="79">
        <f t="shared" si="23"/>
      </c>
      <c r="O103" s="91">
        <f t="shared" si="24"/>
      </c>
      <c r="R103" t="e">
        <f ca="1" t="shared" si="25"/>
        <v>#N/A</v>
      </c>
    </row>
    <row r="104" spans="6:18" ht="21.75" customHeight="1">
      <c r="F104">
        <v>92</v>
      </c>
      <c r="G104" s="40">
        <f>IF(ISERROR(R104),"",INDEX(Sob!A:A,'Где автомобиль'!$R104))</f>
      </c>
      <c r="H104" s="41">
        <f>IF(ISERROR(R104),"",INDEX(Sob!B:B,'Где автомобиль'!$R104))</f>
      </c>
      <c r="I104" s="41">
        <f>IF(ISERROR(R104),"",INDEX(Sob!C:C,'Где автомобиль'!$R104))</f>
      </c>
      <c r="J104" s="91">
        <f ca="1" t="shared" si="19"/>
      </c>
      <c r="K104" s="61">
        <f t="shared" si="20"/>
      </c>
      <c r="L104" s="61">
        <f t="shared" si="21"/>
      </c>
      <c r="M104" s="41">
        <f t="shared" si="22"/>
      </c>
      <c r="N104" s="79">
        <f t="shared" si="23"/>
      </c>
      <c r="O104" s="91">
        <f t="shared" si="24"/>
      </c>
      <c r="R104" t="e">
        <f ca="1" t="shared" si="25"/>
        <v>#N/A</v>
      </c>
    </row>
    <row r="105" spans="6:18" ht="21.75" customHeight="1">
      <c r="F105">
        <v>93</v>
      </c>
      <c r="G105" s="40">
        <f>IF(ISERROR(R105),"",INDEX(Sob!A:A,'Где автомобиль'!$R105))</f>
      </c>
      <c r="H105" s="41">
        <f>IF(ISERROR(R105),"",INDEX(Sob!B:B,'Где автомобиль'!$R105))</f>
      </c>
      <c r="I105" s="41">
        <f>IF(ISERROR(R105),"",INDEX(Sob!C:C,'Где автомобиль'!$R105))</f>
      </c>
      <c r="J105" s="91">
        <f ca="1" t="shared" si="19"/>
      </c>
      <c r="K105" s="61">
        <f t="shared" si="20"/>
      </c>
      <c r="L105" s="61">
        <f t="shared" si="21"/>
      </c>
      <c r="M105" s="41">
        <f t="shared" si="22"/>
      </c>
      <c r="N105" s="79">
        <f t="shared" si="23"/>
      </c>
      <c r="O105" s="91">
        <f t="shared" si="24"/>
      </c>
      <c r="R105" t="e">
        <f ca="1" t="shared" si="25"/>
        <v>#N/A</v>
      </c>
    </row>
    <row r="106" spans="6:18" ht="21.75" customHeight="1">
      <c r="F106">
        <v>94</v>
      </c>
      <c r="G106" s="40">
        <f>IF(ISERROR(R106),"",INDEX(Sob!A:A,'Где автомобиль'!$R106))</f>
      </c>
      <c r="H106" s="41">
        <f>IF(ISERROR(R106),"",INDEX(Sob!B:B,'Где автомобиль'!$R106))</f>
      </c>
      <c r="I106" s="41">
        <f>IF(ISERROR(R106),"",INDEX(Sob!C:C,'Где автомобиль'!$R106))</f>
      </c>
      <c r="J106" s="91">
        <f ca="1" t="shared" si="19"/>
      </c>
      <c r="K106" s="61">
        <f t="shared" si="20"/>
      </c>
      <c r="L106" s="61">
        <f t="shared" si="21"/>
      </c>
      <c r="M106" s="41">
        <f t="shared" si="22"/>
      </c>
      <c r="N106" s="79">
        <f t="shared" si="23"/>
      </c>
      <c r="O106" s="91">
        <f t="shared" si="24"/>
      </c>
      <c r="R106" t="e">
        <f ca="1" t="shared" si="25"/>
        <v>#N/A</v>
      </c>
    </row>
    <row r="107" spans="6:18" ht="21.75" customHeight="1">
      <c r="F107">
        <v>95</v>
      </c>
      <c r="G107" s="40">
        <f>IF(ISERROR(R107),"",INDEX(Sob!A:A,'Где автомобиль'!$R107))</f>
      </c>
      <c r="H107" s="41">
        <f>IF(ISERROR(R107),"",INDEX(Sob!B:B,'Где автомобиль'!$R107))</f>
      </c>
      <c r="I107" s="41">
        <f>IF(ISERROR(R107),"",INDEX(Sob!C:C,'Где автомобиль'!$R107))</f>
      </c>
      <c r="J107" s="91">
        <f ca="1" t="shared" si="19"/>
      </c>
      <c r="K107" s="61">
        <f t="shared" si="20"/>
      </c>
      <c r="L107" s="61">
        <f t="shared" si="21"/>
      </c>
      <c r="M107" s="41">
        <f t="shared" si="22"/>
      </c>
      <c r="N107" s="79">
        <f t="shared" si="23"/>
      </c>
      <c r="O107" s="91">
        <f t="shared" si="24"/>
      </c>
      <c r="R107" t="e">
        <f ca="1" t="shared" si="25"/>
        <v>#N/A</v>
      </c>
    </row>
    <row r="108" spans="6:18" ht="21.75" customHeight="1">
      <c r="F108">
        <v>96</v>
      </c>
      <c r="G108" s="40">
        <f>IF(ISERROR(R108),"",INDEX(Sob!A:A,'Где автомобиль'!$R108))</f>
      </c>
      <c r="H108" s="41">
        <f>IF(ISERROR(R108),"",INDEX(Sob!B:B,'Где автомобиль'!$R108))</f>
      </c>
      <c r="I108" s="41">
        <f>IF(ISERROR(R108),"",INDEX(Sob!C:C,'Где автомобиль'!$R108))</f>
      </c>
      <c r="J108" s="91">
        <f ca="1" t="shared" si="19"/>
      </c>
      <c r="K108" s="61">
        <f t="shared" si="20"/>
      </c>
      <c r="L108" s="61">
        <f t="shared" si="21"/>
      </c>
      <c r="M108" s="41">
        <f t="shared" si="22"/>
      </c>
      <c r="N108" s="79">
        <f t="shared" si="23"/>
      </c>
      <c r="O108" s="91">
        <f t="shared" si="24"/>
      </c>
      <c r="R108" t="e">
        <f ca="1" t="shared" si="25"/>
        <v>#N/A</v>
      </c>
    </row>
    <row r="109" spans="6:18" ht="21.75" customHeight="1">
      <c r="F109">
        <v>97</v>
      </c>
      <c r="G109" s="40">
        <f>IF(ISERROR(R109),"",INDEX(Sob!A:A,'Где автомобиль'!$R109))</f>
      </c>
      <c r="H109" s="41">
        <f>IF(ISERROR(R109),"",INDEX(Sob!B:B,'Где автомобиль'!$R109))</f>
      </c>
      <c r="I109" s="41">
        <f>IF(ISERROR(R109),"",INDEX(Sob!C:C,'Где автомобиль'!$R109))</f>
      </c>
      <c r="J109" s="91">
        <f aca="true" ca="1" t="shared" si="26" ref="J109:J140">IF(ISERROR(R109),"",DMAX(Sob,1,INDIRECT("R1C"&amp;F109+19&amp;":R2C"&amp;F109+19,0)))</f>
      </c>
      <c r="K109" s="61">
        <f aca="true" t="shared" si="27" ref="K109:K140">IF(ISERROR(R109),"",VLOOKUP(I109,Auto,2,0))</f>
      </c>
      <c r="L109" s="61">
        <f aca="true" t="shared" si="28" ref="L109:L140">IF(ISERROR(R109),"",VLOOKUP(I109,Auto,3,0))</f>
      </c>
      <c r="M109" s="41">
        <f aca="true" t="shared" si="29" ref="M109:M140">IF(ISERROR(R109),"",VLOOKUP(J109,Sob,4,0))</f>
      </c>
      <c r="N109" s="79">
        <f aca="true" t="shared" si="30" ref="N109:N140">IF(ISERROR(R109),"",VLOOKUP(J109,Sob,6,0))</f>
      </c>
      <c r="O109" s="91">
        <f aca="true" t="shared" si="31" ref="O109:O140">IF(ISERROR(R109),"",VLOOKUP(J109,Sob,8,0))</f>
      </c>
      <c r="R109" t="e">
        <f ca="1" t="shared" si="25"/>
        <v>#N/A</v>
      </c>
    </row>
    <row r="110" spans="6:18" ht="21.75" customHeight="1">
      <c r="F110">
        <v>98</v>
      </c>
      <c r="G110" s="40">
        <f>IF(ISERROR(R110),"",INDEX(Sob!A:A,'Где автомобиль'!$R110))</f>
      </c>
      <c r="H110" s="41">
        <f>IF(ISERROR(R110),"",INDEX(Sob!B:B,'Где автомобиль'!$R110))</f>
      </c>
      <c r="I110" s="41">
        <f>IF(ISERROR(R110),"",INDEX(Sob!C:C,'Где автомобиль'!$R110))</f>
      </c>
      <c r="J110" s="91">
        <f ca="1" t="shared" si="26"/>
      </c>
      <c r="K110" s="61">
        <f t="shared" si="27"/>
      </c>
      <c r="L110" s="61">
        <f t="shared" si="28"/>
      </c>
      <c r="M110" s="41">
        <f t="shared" si="29"/>
      </c>
      <c r="N110" s="79">
        <f t="shared" si="30"/>
      </c>
      <c r="O110" s="91">
        <f t="shared" si="31"/>
      </c>
      <c r="R110" t="e">
        <f aca="true" ca="1" t="shared" si="32" ref="R110:R141">MATCH($P$2,INDIRECT("sob!d"&amp;R109+1&amp;":d1000"),0)+R109</f>
        <v>#N/A</v>
      </c>
    </row>
    <row r="111" spans="6:18" ht="21.75" customHeight="1">
      <c r="F111">
        <v>99</v>
      </c>
      <c r="G111" s="40">
        <f>IF(ISERROR(R111),"",INDEX(Sob!A:A,'Где автомобиль'!$R111))</f>
      </c>
      <c r="H111" s="41">
        <f>IF(ISERROR(R111),"",INDEX(Sob!B:B,'Где автомобиль'!$R111))</f>
      </c>
      <c r="I111" s="41">
        <f>IF(ISERROR(R111),"",INDEX(Sob!C:C,'Где автомобиль'!$R111))</f>
      </c>
      <c r="J111" s="91">
        <f ca="1" t="shared" si="26"/>
      </c>
      <c r="K111" s="61">
        <f t="shared" si="27"/>
      </c>
      <c r="L111" s="61">
        <f t="shared" si="28"/>
      </c>
      <c r="M111" s="41">
        <f t="shared" si="29"/>
      </c>
      <c r="N111" s="79">
        <f t="shared" si="30"/>
      </c>
      <c r="O111" s="91">
        <f t="shared" si="31"/>
      </c>
      <c r="R111" t="e">
        <f ca="1" t="shared" si="32"/>
        <v>#N/A</v>
      </c>
    </row>
    <row r="112" spans="6:18" ht="21.75" customHeight="1">
      <c r="F112">
        <v>100</v>
      </c>
      <c r="G112" s="40">
        <f>IF(ISERROR(R112),"",INDEX(Sob!A:A,'Где автомобиль'!$R112))</f>
      </c>
      <c r="H112" s="41">
        <f>IF(ISERROR(R112),"",INDEX(Sob!B:B,'Где автомобиль'!$R112))</f>
      </c>
      <c r="I112" s="41">
        <f>IF(ISERROR(R112),"",INDEX(Sob!C:C,'Где автомобиль'!$R112))</f>
      </c>
      <c r="J112" s="91">
        <f ca="1" t="shared" si="26"/>
      </c>
      <c r="K112" s="61">
        <f t="shared" si="27"/>
      </c>
      <c r="L112" s="61">
        <f t="shared" si="28"/>
      </c>
      <c r="M112" s="41">
        <f t="shared" si="29"/>
      </c>
      <c r="N112" s="79">
        <f t="shared" si="30"/>
      </c>
      <c r="O112" s="91">
        <f t="shared" si="31"/>
      </c>
      <c r="R112" t="e">
        <f ca="1" t="shared" si="32"/>
        <v>#N/A</v>
      </c>
    </row>
    <row r="113" spans="6:18" ht="21.75" customHeight="1">
      <c r="F113">
        <v>101</v>
      </c>
      <c r="G113" s="40">
        <f>IF(ISERROR(R113),"",INDEX(Sob!A:A,'Где автомобиль'!$R113))</f>
      </c>
      <c r="H113" s="41">
        <f>IF(ISERROR(R113),"",INDEX(Sob!B:B,'Где автомобиль'!$R113))</f>
      </c>
      <c r="I113" s="41">
        <f>IF(ISERROR(R113),"",INDEX(Sob!C:C,'Где автомобиль'!$R113))</f>
      </c>
      <c r="J113" s="91">
        <f ca="1" t="shared" si="26"/>
      </c>
      <c r="K113" s="61">
        <f t="shared" si="27"/>
      </c>
      <c r="L113" s="61">
        <f t="shared" si="28"/>
      </c>
      <c r="M113" s="41">
        <f t="shared" si="29"/>
      </c>
      <c r="N113" s="79">
        <f t="shared" si="30"/>
      </c>
      <c r="O113" s="91">
        <f t="shared" si="31"/>
      </c>
      <c r="R113" t="e">
        <f ca="1" t="shared" si="32"/>
        <v>#N/A</v>
      </c>
    </row>
    <row r="114" spans="6:18" ht="21.75" customHeight="1">
      <c r="F114">
        <v>102</v>
      </c>
      <c r="G114" s="40">
        <f>IF(ISERROR(R114),"",INDEX(Sob!A:A,'Где автомобиль'!$R114))</f>
      </c>
      <c r="H114" s="41">
        <f>IF(ISERROR(R114),"",INDEX(Sob!B:B,'Где автомобиль'!$R114))</f>
      </c>
      <c r="I114" s="41">
        <f>IF(ISERROR(R114),"",INDEX(Sob!C:C,'Где автомобиль'!$R114))</f>
      </c>
      <c r="J114" s="91">
        <f ca="1" t="shared" si="26"/>
      </c>
      <c r="K114" s="61">
        <f t="shared" si="27"/>
      </c>
      <c r="L114" s="61">
        <f t="shared" si="28"/>
      </c>
      <c r="M114" s="41">
        <f t="shared" si="29"/>
      </c>
      <c r="N114" s="79">
        <f t="shared" si="30"/>
      </c>
      <c r="O114" s="91">
        <f t="shared" si="31"/>
      </c>
      <c r="R114" t="e">
        <f ca="1" t="shared" si="32"/>
        <v>#N/A</v>
      </c>
    </row>
    <row r="115" spans="6:18" ht="21.75" customHeight="1">
      <c r="F115">
        <v>103</v>
      </c>
      <c r="G115" s="40">
        <f>IF(ISERROR(R115),"",INDEX(Sob!A:A,'Где автомобиль'!$R115))</f>
      </c>
      <c r="H115" s="41">
        <f>IF(ISERROR(R115),"",INDEX(Sob!B:B,'Где автомобиль'!$R115))</f>
      </c>
      <c r="I115" s="41">
        <f>IF(ISERROR(R115),"",INDEX(Sob!C:C,'Где автомобиль'!$R115))</f>
      </c>
      <c r="J115" s="91">
        <f ca="1" t="shared" si="26"/>
      </c>
      <c r="K115" s="61">
        <f t="shared" si="27"/>
      </c>
      <c r="L115" s="61">
        <f t="shared" si="28"/>
      </c>
      <c r="M115" s="41">
        <f t="shared" si="29"/>
      </c>
      <c r="N115" s="79">
        <f t="shared" si="30"/>
      </c>
      <c r="O115" s="91">
        <f t="shared" si="31"/>
      </c>
      <c r="R115" t="e">
        <f ca="1" t="shared" si="32"/>
        <v>#N/A</v>
      </c>
    </row>
    <row r="116" spans="6:18" ht="21.75" customHeight="1">
      <c r="F116">
        <v>104</v>
      </c>
      <c r="G116" s="40">
        <f>IF(ISERROR(R116),"",INDEX(Sob!A:A,'Где автомобиль'!$R116))</f>
      </c>
      <c r="H116" s="41">
        <f>IF(ISERROR(R116),"",INDEX(Sob!B:B,'Где автомобиль'!$R116))</f>
      </c>
      <c r="I116" s="41">
        <f>IF(ISERROR(R116),"",INDEX(Sob!C:C,'Где автомобиль'!$R116))</f>
      </c>
      <c r="J116" s="91">
        <f ca="1" t="shared" si="26"/>
      </c>
      <c r="K116" s="61">
        <f t="shared" si="27"/>
      </c>
      <c r="L116" s="61">
        <f t="shared" si="28"/>
      </c>
      <c r="M116" s="41">
        <f t="shared" si="29"/>
      </c>
      <c r="N116" s="79">
        <f t="shared" si="30"/>
      </c>
      <c r="O116" s="91">
        <f t="shared" si="31"/>
      </c>
      <c r="R116" t="e">
        <f ca="1" t="shared" si="32"/>
        <v>#N/A</v>
      </c>
    </row>
    <row r="117" spans="6:18" ht="21.75" customHeight="1">
      <c r="F117">
        <v>105</v>
      </c>
      <c r="G117" s="40">
        <f>IF(ISERROR(R117),"",INDEX(Sob!A:A,'Где автомобиль'!$R117))</f>
      </c>
      <c r="H117" s="41">
        <f>IF(ISERROR(R117),"",INDEX(Sob!B:B,'Где автомобиль'!$R117))</f>
      </c>
      <c r="I117" s="41">
        <f>IF(ISERROR(R117),"",INDEX(Sob!C:C,'Где автомобиль'!$R117))</f>
      </c>
      <c r="J117" s="91">
        <f ca="1" t="shared" si="26"/>
      </c>
      <c r="K117" s="61">
        <f t="shared" si="27"/>
      </c>
      <c r="L117" s="61">
        <f t="shared" si="28"/>
      </c>
      <c r="M117" s="41">
        <f t="shared" si="29"/>
      </c>
      <c r="N117" s="79">
        <f t="shared" si="30"/>
      </c>
      <c r="O117" s="91">
        <f t="shared" si="31"/>
      </c>
      <c r="R117" t="e">
        <f ca="1" t="shared" si="32"/>
        <v>#N/A</v>
      </c>
    </row>
    <row r="118" spans="6:18" ht="21.75" customHeight="1">
      <c r="F118">
        <v>106</v>
      </c>
      <c r="G118" s="40">
        <f>IF(ISERROR(R118),"",INDEX(Sob!A:A,'Где автомобиль'!$R118))</f>
      </c>
      <c r="H118" s="41">
        <f>IF(ISERROR(R118),"",INDEX(Sob!B:B,'Где автомобиль'!$R118))</f>
      </c>
      <c r="I118" s="41">
        <f>IF(ISERROR(R118),"",INDEX(Sob!C:C,'Где автомобиль'!$R118))</f>
      </c>
      <c r="J118" s="91">
        <f ca="1" t="shared" si="26"/>
      </c>
      <c r="K118" s="61">
        <f t="shared" si="27"/>
      </c>
      <c r="L118" s="61">
        <f t="shared" si="28"/>
      </c>
      <c r="M118" s="41">
        <f t="shared" si="29"/>
      </c>
      <c r="N118" s="79">
        <f t="shared" si="30"/>
      </c>
      <c r="O118" s="91">
        <f t="shared" si="31"/>
      </c>
      <c r="R118" t="e">
        <f ca="1" t="shared" si="32"/>
        <v>#N/A</v>
      </c>
    </row>
    <row r="119" spans="6:18" ht="21.75" customHeight="1">
      <c r="F119">
        <v>107</v>
      </c>
      <c r="G119" s="40">
        <f>IF(ISERROR(R119),"",INDEX(Sob!A:A,'Где автомобиль'!$R119))</f>
      </c>
      <c r="H119" s="41">
        <f>IF(ISERROR(R119),"",INDEX(Sob!B:B,'Где автомобиль'!$R119))</f>
      </c>
      <c r="I119" s="41">
        <f>IF(ISERROR(R119),"",INDEX(Sob!C:C,'Где автомобиль'!$R119))</f>
      </c>
      <c r="J119" s="91">
        <f ca="1" t="shared" si="26"/>
      </c>
      <c r="K119" s="61">
        <f t="shared" si="27"/>
      </c>
      <c r="L119" s="61">
        <f t="shared" si="28"/>
      </c>
      <c r="M119" s="41">
        <f t="shared" si="29"/>
      </c>
      <c r="N119" s="79">
        <f t="shared" si="30"/>
      </c>
      <c r="O119" s="91">
        <f t="shared" si="31"/>
      </c>
      <c r="R119" t="e">
        <f ca="1" t="shared" si="32"/>
        <v>#N/A</v>
      </c>
    </row>
    <row r="120" spans="6:18" ht="21.75" customHeight="1">
      <c r="F120">
        <v>108</v>
      </c>
      <c r="G120" s="40">
        <f>IF(ISERROR(R120),"",INDEX(Sob!A:A,'Где автомобиль'!$R120))</f>
      </c>
      <c r="H120" s="41">
        <f>IF(ISERROR(R120),"",INDEX(Sob!B:B,'Где автомобиль'!$R120))</f>
      </c>
      <c r="I120" s="41">
        <f>IF(ISERROR(R120),"",INDEX(Sob!C:C,'Где автомобиль'!$R120))</f>
      </c>
      <c r="J120" s="91">
        <f ca="1" t="shared" si="26"/>
      </c>
      <c r="K120" s="61">
        <f t="shared" si="27"/>
      </c>
      <c r="L120" s="61">
        <f t="shared" si="28"/>
      </c>
      <c r="M120" s="41">
        <f t="shared" si="29"/>
      </c>
      <c r="N120" s="79">
        <f t="shared" si="30"/>
      </c>
      <c r="O120" s="91">
        <f t="shared" si="31"/>
      </c>
      <c r="R120" t="e">
        <f ca="1" t="shared" si="32"/>
        <v>#N/A</v>
      </c>
    </row>
    <row r="121" spans="6:18" ht="21.75" customHeight="1">
      <c r="F121">
        <v>109</v>
      </c>
      <c r="G121" s="40">
        <f>IF(ISERROR(R121),"",INDEX(Sob!A:A,'Где автомобиль'!$R121))</f>
      </c>
      <c r="H121" s="41">
        <f>IF(ISERROR(R121),"",INDEX(Sob!B:B,'Где автомобиль'!$R121))</f>
      </c>
      <c r="I121" s="41">
        <f>IF(ISERROR(R121),"",INDEX(Sob!C:C,'Где автомобиль'!$R121))</f>
      </c>
      <c r="J121" s="91">
        <f ca="1" t="shared" si="26"/>
      </c>
      <c r="K121" s="61">
        <f t="shared" si="27"/>
      </c>
      <c r="L121" s="61">
        <f t="shared" si="28"/>
      </c>
      <c r="M121" s="41">
        <f t="shared" si="29"/>
      </c>
      <c r="N121" s="79">
        <f t="shared" si="30"/>
      </c>
      <c r="O121" s="91">
        <f t="shared" si="31"/>
      </c>
      <c r="R121" t="e">
        <f ca="1" t="shared" si="32"/>
        <v>#N/A</v>
      </c>
    </row>
    <row r="122" spans="6:18" ht="21.75" customHeight="1">
      <c r="F122">
        <v>110</v>
      </c>
      <c r="G122" s="40">
        <f>IF(ISERROR(R122),"",INDEX(Sob!A:A,'Где автомобиль'!$R122))</f>
      </c>
      <c r="H122" s="41">
        <f>IF(ISERROR(R122),"",INDEX(Sob!B:B,'Где автомобиль'!$R122))</f>
      </c>
      <c r="I122" s="41">
        <f>IF(ISERROR(R122),"",INDEX(Sob!C:C,'Где автомобиль'!$R122))</f>
      </c>
      <c r="J122" s="91">
        <f ca="1" t="shared" si="26"/>
      </c>
      <c r="K122" s="61">
        <f t="shared" si="27"/>
      </c>
      <c r="L122" s="61">
        <f t="shared" si="28"/>
      </c>
      <c r="M122" s="41">
        <f t="shared" si="29"/>
      </c>
      <c r="N122" s="79">
        <f t="shared" si="30"/>
      </c>
      <c r="O122" s="91">
        <f t="shared" si="31"/>
      </c>
      <c r="R122" t="e">
        <f ca="1" t="shared" si="32"/>
        <v>#N/A</v>
      </c>
    </row>
    <row r="123" spans="6:18" ht="21.75" customHeight="1">
      <c r="F123">
        <v>111</v>
      </c>
      <c r="G123" s="40">
        <f>IF(ISERROR(R123),"",INDEX(Sob!A:A,'Где автомобиль'!$R123))</f>
      </c>
      <c r="H123" s="41">
        <f>IF(ISERROR(R123),"",INDEX(Sob!B:B,'Где автомобиль'!$R123))</f>
      </c>
      <c r="I123" s="41">
        <f>IF(ISERROR(R123),"",INDEX(Sob!C:C,'Где автомобиль'!$R123))</f>
      </c>
      <c r="J123" s="91">
        <f ca="1" t="shared" si="26"/>
      </c>
      <c r="K123" s="61">
        <f t="shared" si="27"/>
      </c>
      <c r="L123" s="61">
        <f t="shared" si="28"/>
      </c>
      <c r="M123" s="41">
        <f t="shared" si="29"/>
      </c>
      <c r="N123" s="79">
        <f t="shared" si="30"/>
      </c>
      <c r="O123" s="91">
        <f t="shared" si="31"/>
      </c>
      <c r="R123" t="e">
        <f ca="1" t="shared" si="32"/>
        <v>#N/A</v>
      </c>
    </row>
    <row r="124" spans="6:18" ht="21.75" customHeight="1">
      <c r="F124">
        <v>112</v>
      </c>
      <c r="G124" s="40">
        <f>IF(ISERROR(R124),"",INDEX(Sob!A:A,'Где автомобиль'!$R124))</f>
      </c>
      <c r="H124" s="41">
        <f>IF(ISERROR(R124),"",INDEX(Sob!B:B,'Где автомобиль'!$R124))</f>
      </c>
      <c r="I124" s="41">
        <f>IF(ISERROR(R124),"",INDEX(Sob!C:C,'Где автомобиль'!$R124))</f>
      </c>
      <c r="J124" s="91">
        <f ca="1" t="shared" si="26"/>
      </c>
      <c r="K124" s="61">
        <f t="shared" si="27"/>
      </c>
      <c r="L124" s="61">
        <f t="shared" si="28"/>
      </c>
      <c r="M124" s="41">
        <f t="shared" si="29"/>
      </c>
      <c r="N124" s="79">
        <f t="shared" si="30"/>
      </c>
      <c r="O124" s="91">
        <f t="shared" si="31"/>
      </c>
      <c r="R124" t="e">
        <f ca="1" t="shared" si="32"/>
        <v>#N/A</v>
      </c>
    </row>
    <row r="125" spans="6:18" ht="21.75" customHeight="1">
      <c r="F125">
        <v>113</v>
      </c>
      <c r="G125" s="40">
        <f>IF(ISERROR(R125),"",INDEX(Sob!A:A,'Где автомобиль'!$R125))</f>
      </c>
      <c r="H125" s="41">
        <f>IF(ISERROR(R125),"",INDEX(Sob!B:B,'Где автомобиль'!$R125))</f>
      </c>
      <c r="I125" s="41">
        <f>IF(ISERROR(R125),"",INDEX(Sob!C:C,'Где автомобиль'!$R125))</f>
      </c>
      <c r="J125" s="91">
        <f ca="1" t="shared" si="26"/>
      </c>
      <c r="K125" s="61">
        <f t="shared" si="27"/>
      </c>
      <c r="L125" s="61">
        <f t="shared" si="28"/>
      </c>
      <c r="M125" s="41">
        <f t="shared" si="29"/>
      </c>
      <c r="N125" s="79">
        <f t="shared" si="30"/>
      </c>
      <c r="O125" s="91">
        <f t="shared" si="31"/>
      </c>
      <c r="R125" t="e">
        <f ca="1" t="shared" si="32"/>
        <v>#N/A</v>
      </c>
    </row>
    <row r="126" spans="6:18" ht="21.75" customHeight="1">
      <c r="F126">
        <v>114</v>
      </c>
      <c r="G126" s="40">
        <f>IF(ISERROR(R126),"",INDEX(Sob!A:A,'Где автомобиль'!$R126))</f>
      </c>
      <c r="H126" s="41">
        <f>IF(ISERROR(R126),"",INDEX(Sob!B:B,'Где автомобиль'!$R126))</f>
      </c>
      <c r="I126" s="41">
        <f>IF(ISERROR(R126),"",INDEX(Sob!C:C,'Где автомобиль'!$R126))</f>
      </c>
      <c r="J126" s="91">
        <f ca="1" t="shared" si="26"/>
      </c>
      <c r="K126" s="61">
        <f t="shared" si="27"/>
      </c>
      <c r="L126" s="61">
        <f t="shared" si="28"/>
      </c>
      <c r="M126" s="41">
        <f t="shared" si="29"/>
      </c>
      <c r="N126" s="79">
        <f t="shared" si="30"/>
      </c>
      <c r="O126" s="91">
        <f t="shared" si="31"/>
      </c>
      <c r="R126" t="e">
        <f ca="1" t="shared" si="32"/>
        <v>#N/A</v>
      </c>
    </row>
    <row r="127" spans="6:18" ht="21.75" customHeight="1">
      <c r="F127">
        <v>115</v>
      </c>
      <c r="G127" s="40">
        <f>IF(ISERROR(R127),"",INDEX(Sob!A:A,'Где автомобиль'!$R127))</f>
      </c>
      <c r="H127" s="41">
        <f>IF(ISERROR(R127),"",INDEX(Sob!B:B,'Где автомобиль'!$R127))</f>
      </c>
      <c r="I127" s="41">
        <f>IF(ISERROR(R127),"",INDEX(Sob!C:C,'Где автомобиль'!$R127))</f>
      </c>
      <c r="J127" s="91">
        <f ca="1" t="shared" si="26"/>
      </c>
      <c r="K127" s="61">
        <f t="shared" si="27"/>
      </c>
      <c r="L127" s="61">
        <f t="shared" si="28"/>
      </c>
      <c r="M127" s="41">
        <f t="shared" si="29"/>
      </c>
      <c r="N127" s="79">
        <f t="shared" si="30"/>
      </c>
      <c r="O127" s="91">
        <f t="shared" si="31"/>
      </c>
      <c r="R127" t="e">
        <f ca="1" t="shared" si="32"/>
        <v>#N/A</v>
      </c>
    </row>
    <row r="128" spans="6:18" ht="21.75" customHeight="1">
      <c r="F128">
        <v>116</v>
      </c>
      <c r="G128" s="40">
        <f>IF(ISERROR(R128),"",INDEX(Sob!A:A,'Где автомобиль'!$R128))</f>
      </c>
      <c r="H128" s="41">
        <f>IF(ISERROR(R128),"",INDEX(Sob!B:B,'Где автомобиль'!$R128))</f>
      </c>
      <c r="I128" s="41">
        <f>IF(ISERROR(R128),"",INDEX(Sob!C:C,'Где автомобиль'!$R128))</f>
      </c>
      <c r="J128" s="91">
        <f ca="1" t="shared" si="26"/>
      </c>
      <c r="K128" s="61">
        <f t="shared" si="27"/>
      </c>
      <c r="L128" s="61">
        <f t="shared" si="28"/>
      </c>
      <c r="M128" s="41">
        <f t="shared" si="29"/>
      </c>
      <c r="N128" s="79">
        <f t="shared" si="30"/>
      </c>
      <c r="O128" s="91">
        <f t="shared" si="31"/>
      </c>
      <c r="R128" t="e">
        <f ca="1" t="shared" si="32"/>
        <v>#N/A</v>
      </c>
    </row>
    <row r="129" spans="6:18" ht="21.75" customHeight="1">
      <c r="F129">
        <v>117</v>
      </c>
      <c r="G129" s="40">
        <f>IF(ISERROR(R129),"",INDEX(Sob!A:A,'Где автомобиль'!$R129))</f>
      </c>
      <c r="H129" s="41">
        <f>IF(ISERROR(R129),"",INDEX(Sob!B:B,'Где автомобиль'!$R129))</f>
      </c>
      <c r="I129" s="41">
        <f>IF(ISERROR(R129),"",INDEX(Sob!C:C,'Где автомобиль'!$R129))</f>
      </c>
      <c r="J129" s="91">
        <f ca="1" t="shared" si="26"/>
      </c>
      <c r="K129" s="61">
        <f t="shared" si="27"/>
      </c>
      <c r="L129" s="61">
        <f t="shared" si="28"/>
      </c>
      <c r="M129" s="41">
        <f t="shared" si="29"/>
      </c>
      <c r="N129" s="79">
        <f t="shared" si="30"/>
      </c>
      <c r="O129" s="91">
        <f t="shared" si="31"/>
      </c>
      <c r="R129" t="e">
        <f ca="1" t="shared" si="32"/>
        <v>#N/A</v>
      </c>
    </row>
    <row r="130" spans="6:18" ht="21.75" customHeight="1">
      <c r="F130">
        <v>118</v>
      </c>
      <c r="G130" s="40">
        <f>IF(ISERROR(R130),"",INDEX(Sob!A:A,'Где автомобиль'!$R130))</f>
      </c>
      <c r="H130" s="41">
        <f>IF(ISERROR(R130),"",INDEX(Sob!B:B,'Где автомобиль'!$R130))</f>
      </c>
      <c r="I130" s="41">
        <f>IF(ISERROR(R130),"",INDEX(Sob!C:C,'Где автомобиль'!$R130))</f>
      </c>
      <c r="J130" s="91">
        <f ca="1" t="shared" si="26"/>
      </c>
      <c r="K130" s="61">
        <f t="shared" si="27"/>
      </c>
      <c r="L130" s="61">
        <f t="shared" si="28"/>
      </c>
      <c r="M130" s="41">
        <f t="shared" si="29"/>
      </c>
      <c r="N130" s="79">
        <f t="shared" si="30"/>
      </c>
      <c r="O130" s="91">
        <f t="shared" si="31"/>
      </c>
      <c r="R130" t="e">
        <f ca="1" t="shared" si="32"/>
        <v>#N/A</v>
      </c>
    </row>
    <row r="131" spans="6:18" ht="21.75" customHeight="1">
      <c r="F131">
        <v>119</v>
      </c>
      <c r="G131" s="40">
        <f>IF(ISERROR(R131),"",INDEX(Sob!A:A,'Где автомобиль'!$R131))</f>
      </c>
      <c r="H131" s="41">
        <f>IF(ISERROR(R131),"",INDEX(Sob!B:B,'Где автомобиль'!$R131))</f>
      </c>
      <c r="I131" s="41">
        <f>IF(ISERROR(R131),"",INDEX(Sob!C:C,'Где автомобиль'!$R131))</f>
      </c>
      <c r="J131" s="91">
        <f ca="1" t="shared" si="26"/>
      </c>
      <c r="K131" s="61">
        <f t="shared" si="27"/>
      </c>
      <c r="L131" s="61">
        <f t="shared" si="28"/>
      </c>
      <c r="M131" s="41">
        <f t="shared" si="29"/>
      </c>
      <c r="N131" s="79">
        <f t="shared" si="30"/>
      </c>
      <c r="O131" s="91">
        <f t="shared" si="31"/>
      </c>
      <c r="R131" t="e">
        <f ca="1" t="shared" si="32"/>
        <v>#N/A</v>
      </c>
    </row>
    <row r="132" spans="6:18" ht="21.75" customHeight="1">
      <c r="F132">
        <v>120</v>
      </c>
      <c r="G132" s="40">
        <f>IF(ISERROR(R132),"",INDEX(Sob!A:A,'Где автомобиль'!$R132))</f>
      </c>
      <c r="H132" s="41">
        <f>IF(ISERROR(R132),"",INDEX(Sob!B:B,'Где автомобиль'!$R132))</f>
      </c>
      <c r="I132" s="41">
        <f>IF(ISERROR(R132),"",INDEX(Sob!C:C,'Где автомобиль'!$R132))</f>
      </c>
      <c r="J132" s="91">
        <f ca="1" t="shared" si="26"/>
      </c>
      <c r="K132" s="61">
        <f t="shared" si="27"/>
      </c>
      <c r="L132" s="61">
        <f t="shared" si="28"/>
      </c>
      <c r="M132" s="41">
        <f t="shared" si="29"/>
      </c>
      <c r="N132" s="79">
        <f t="shared" si="30"/>
      </c>
      <c r="O132" s="91">
        <f t="shared" si="31"/>
      </c>
      <c r="R132" t="e">
        <f ca="1" t="shared" si="32"/>
        <v>#N/A</v>
      </c>
    </row>
    <row r="133" spans="6:18" ht="21.75" customHeight="1">
      <c r="F133">
        <v>121</v>
      </c>
      <c r="G133" s="40">
        <f>IF(ISERROR(R133),"",INDEX(Sob!A:A,'Где автомобиль'!$R133))</f>
      </c>
      <c r="H133" s="41">
        <f>IF(ISERROR(R133),"",INDEX(Sob!B:B,'Где автомобиль'!$R133))</f>
      </c>
      <c r="I133" s="41">
        <f>IF(ISERROR(R133),"",INDEX(Sob!C:C,'Где автомобиль'!$R133))</f>
      </c>
      <c r="J133" s="91">
        <f ca="1" t="shared" si="26"/>
      </c>
      <c r="K133" s="61">
        <f t="shared" si="27"/>
      </c>
      <c r="L133" s="61">
        <f t="shared" si="28"/>
      </c>
      <c r="M133" s="41">
        <f t="shared" si="29"/>
      </c>
      <c r="N133" s="79">
        <f t="shared" si="30"/>
      </c>
      <c r="O133" s="91">
        <f t="shared" si="31"/>
      </c>
      <c r="R133" t="e">
        <f ca="1" t="shared" si="32"/>
        <v>#N/A</v>
      </c>
    </row>
    <row r="134" spans="6:18" ht="21.75" customHeight="1">
      <c r="F134">
        <v>122</v>
      </c>
      <c r="G134" s="40">
        <f>IF(ISERROR(R134),"",INDEX(Sob!A:A,'Где автомобиль'!$R134))</f>
      </c>
      <c r="H134" s="41">
        <f>IF(ISERROR(R134),"",INDEX(Sob!B:B,'Где автомобиль'!$R134))</f>
      </c>
      <c r="I134" s="41">
        <f>IF(ISERROR(R134),"",INDEX(Sob!C:C,'Где автомобиль'!$R134))</f>
      </c>
      <c r="J134" s="91">
        <f ca="1" t="shared" si="26"/>
      </c>
      <c r="K134" s="61">
        <f t="shared" si="27"/>
      </c>
      <c r="L134" s="61">
        <f t="shared" si="28"/>
      </c>
      <c r="M134" s="41">
        <f t="shared" si="29"/>
      </c>
      <c r="N134" s="79">
        <f t="shared" si="30"/>
      </c>
      <c r="O134" s="91">
        <f t="shared" si="31"/>
      </c>
      <c r="R134" t="e">
        <f ca="1" t="shared" si="32"/>
        <v>#N/A</v>
      </c>
    </row>
    <row r="135" spans="6:18" ht="21.75" customHeight="1">
      <c r="F135">
        <v>123</v>
      </c>
      <c r="G135" s="40">
        <f>IF(ISERROR(R135),"",INDEX(Sob!A:A,'Где автомобиль'!$R135))</f>
      </c>
      <c r="H135" s="41">
        <f>IF(ISERROR(R135),"",INDEX(Sob!B:B,'Где автомобиль'!$R135))</f>
      </c>
      <c r="I135" s="41">
        <f>IF(ISERROR(R135),"",INDEX(Sob!C:C,'Где автомобиль'!$R135))</f>
      </c>
      <c r="J135" s="91">
        <f ca="1" t="shared" si="26"/>
      </c>
      <c r="K135" s="61">
        <f t="shared" si="27"/>
      </c>
      <c r="L135" s="61">
        <f t="shared" si="28"/>
      </c>
      <c r="M135" s="41">
        <f t="shared" si="29"/>
      </c>
      <c r="N135" s="79">
        <f t="shared" si="30"/>
      </c>
      <c r="O135" s="91">
        <f t="shared" si="31"/>
      </c>
      <c r="R135" t="e">
        <f ca="1" t="shared" si="32"/>
        <v>#N/A</v>
      </c>
    </row>
    <row r="136" spans="6:18" ht="21.75" customHeight="1">
      <c r="F136">
        <v>124</v>
      </c>
      <c r="G136" s="40">
        <f>IF(ISERROR(R136),"",INDEX(Sob!A:A,'Где автомобиль'!$R136))</f>
      </c>
      <c r="H136" s="41">
        <f>IF(ISERROR(R136),"",INDEX(Sob!B:B,'Где автомобиль'!$R136))</f>
      </c>
      <c r="I136" s="41">
        <f>IF(ISERROR(R136),"",INDEX(Sob!C:C,'Где автомобиль'!$R136))</f>
      </c>
      <c r="J136" s="91">
        <f ca="1" t="shared" si="26"/>
      </c>
      <c r="K136" s="61">
        <f t="shared" si="27"/>
      </c>
      <c r="L136" s="61">
        <f t="shared" si="28"/>
      </c>
      <c r="M136" s="41">
        <f t="shared" si="29"/>
      </c>
      <c r="N136" s="79">
        <f t="shared" si="30"/>
      </c>
      <c r="O136" s="91">
        <f t="shared" si="31"/>
      </c>
      <c r="R136" t="e">
        <f ca="1" t="shared" si="32"/>
        <v>#N/A</v>
      </c>
    </row>
    <row r="137" spans="6:18" ht="21.75" customHeight="1">
      <c r="F137">
        <v>125</v>
      </c>
      <c r="G137" s="40">
        <f>IF(ISERROR(R137),"",INDEX(Sob!A:A,'Где автомобиль'!$R137))</f>
      </c>
      <c r="H137" s="41">
        <f>IF(ISERROR(R137),"",INDEX(Sob!B:B,'Где автомобиль'!$R137))</f>
      </c>
      <c r="I137" s="41">
        <f>IF(ISERROR(R137),"",INDEX(Sob!C:C,'Где автомобиль'!$R137))</f>
      </c>
      <c r="J137" s="91">
        <f ca="1" t="shared" si="26"/>
      </c>
      <c r="K137" s="61">
        <f t="shared" si="27"/>
      </c>
      <c r="L137" s="61">
        <f t="shared" si="28"/>
      </c>
      <c r="M137" s="41">
        <f t="shared" si="29"/>
      </c>
      <c r="N137" s="79">
        <f t="shared" si="30"/>
      </c>
      <c r="O137" s="91">
        <f t="shared" si="31"/>
      </c>
      <c r="R137" t="e">
        <f ca="1" t="shared" si="32"/>
        <v>#N/A</v>
      </c>
    </row>
    <row r="138" spans="6:18" ht="21.75" customHeight="1">
      <c r="F138">
        <v>126</v>
      </c>
      <c r="G138" s="40">
        <f>IF(ISERROR(R138),"",INDEX(Sob!A:A,'Где автомобиль'!$R138))</f>
      </c>
      <c r="H138" s="41">
        <f>IF(ISERROR(R138),"",INDEX(Sob!B:B,'Где автомобиль'!$R138))</f>
      </c>
      <c r="I138" s="41">
        <f>IF(ISERROR(R138),"",INDEX(Sob!C:C,'Где автомобиль'!$R138))</f>
      </c>
      <c r="J138" s="91">
        <f ca="1" t="shared" si="26"/>
      </c>
      <c r="K138" s="61">
        <f t="shared" si="27"/>
      </c>
      <c r="L138" s="61">
        <f t="shared" si="28"/>
      </c>
      <c r="M138" s="41">
        <f t="shared" si="29"/>
      </c>
      <c r="N138" s="79">
        <f t="shared" si="30"/>
      </c>
      <c r="O138" s="91">
        <f t="shared" si="31"/>
      </c>
      <c r="R138" t="e">
        <f ca="1" t="shared" si="32"/>
        <v>#N/A</v>
      </c>
    </row>
    <row r="139" spans="6:18" ht="21.75" customHeight="1">
      <c r="F139">
        <v>127</v>
      </c>
      <c r="G139" s="40">
        <f>IF(ISERROR(R139),"",INDEX(Sob!A:A,'Где автомобиль'!$R139))</f>
      </c>
      <c r="H139" s="41">
        <f>IF(ISERROR(R139),"",INDEX(Sob!B:B,'Где автомобиль'!$R139))</f>
      </c>
      <c r="I139" s="41">
        <f>IF(ISERROR(R139),"",INDEX(Sob!C:C,'Где автомобиль'!$R139))</f>
      </c>
      <c r="J139" s="91">
        <f ca="1" t="shared" si="26"/>
      </c>
      <c r="K139" s="61">
        <f t="shared" si="27"/>
      </c>
      <c r="L139" s="61">
        <f t="shared" si="28"/>
      </c>
      <c r="M139" s="41">
        <f t="shared" si="29"/>
      </c>
      <c r="N139" s="79">
        <f t="shared" si="30"/>
      </c>
      <c r="O139" s="91">
        <f t="shared" si="31"/>
      </c>
      <c r="R139" t="e">
        <f ca="1" t="shared" si="32"/>
        <v>#N/A</v>
      </c>
    </row>
    <row r="140" spans="6:18" ht="21.75" customHeight="1">
      <c r="F140">
        <v>128</v>
      </c>
      <c r="G140" s="40">
        <f>IF(ISERROR(R140),"",INDEX(Sob!A:A,'Где автомобиль'!$R140))</f>
      </c>
      <c r="H140" s="41">
        <f>IF(ISERROR(R140),"",INDEX(Sob!B:B,'Где автомобиль'!$R140))</f>
      </c>
      <c r="I140" s="41">
        <f>IF(ISERROR(R140),"",INDEX(Sob!C:C,'Где автомобиль'!$R140))</f>
      </c>
      <c r="J140" s="91">
        <f ca="1" t="shared" si="26"/>
      </c>
      <c r="K140" s="61">
        <f t="shared" si="27"/>
      </c>
      <c r="L140" s="61">
        <f t="shared" si="28"/>
      </c>
      <c r="M140" s="41">
        <f t="shared" si="29"/>
      </c>
      <c r="N140" s="79">
        <f t="shared" si="30"/>
      </c>
      <c r="O140" s="91">
        <f t="shared" si="31"/>
      </c>
      <c r="R140" t="e">
        <f ca="1" t="shared" si="32"/>
        <v>#N/A</v>
      </c>
    </row>
    <row r="141" spans="6:18" ht="21.75" customHeight="1">
      <c r="F141">
        <v>129</v>
      </c>
      <c r="G141" s="40">
        <f>IF(ISERROR(R141),"",INDEX(Sob!A:A,'Где автомобиль'!$R141))</f>
      </c>
      <c r="H141" s="41">
        <f>IF(ISERROR(R141),"",INDEX(Sob!B:B,'Где автомобиль'!$R141))</f>
      </c>
      <c r="I141" s="41">
        <f>IF(ISERROR(R141),"",INDEX(Sob!C:C,'Где автомобиль'!$R141))</f>
      </c>
      <c r="J141" s="91">
        <f aca="true" ca="1" t="shared" si="33" ref="J141:J172">IF(ISERROR(R141),"",DMAX(Sob,1,INDIRECT("R1C"&amp;F141+19&amp;":R2C"&amp;F141+19,0)))</f>
      </c>
      <c r="K141" s="61">
        <f aca="true" t="shared" si="34" ref="K141:K172">IF(ISERROR(R141),"",VLOOKUP(I141,Auto,2,0))</f>
      </c>
      <c r="L141" s="61">
        <f aca="true" t="shared" si="35" ref="L141:L172">IF(ISERROR(R141),"",VLOOKUP(I141,Auto,3,0))</f>
      </c>
      <c r="M141" s="41">
        <f aca="true" t="shared" si="36" ref="M141:M172">IF(ISERROR(R141),"",VLOOKUP(J141,Sob,4,0))</f>
      </c>
      <c r="N141" s="79">
        <f aca="true" t="shared" si="37" ref="N141:N172">IF(ISERROR(R141),"",VLOOKUP(J141,Sob,6,0))</f>
      </c>
      <c r="O141" s="91">
        <f aca="true" t="shared" si="38" ref="O141:O172">IF(ISERROR(R141),"",VLOOKUP(J141,Sob,8,0))</f>
      </c>
      <c r="R141" t="e">
        <f ca="1" t="shared" si="32"/>
        <v>#N/A</v>
      </c>
    </row>
    <row r="142" spans="6:18" ht="21.75" customHeight="1">
      <c r="F142">
        <v>130</v>
      </c>
      <c r="G142" s="40">
        <f>IF(ISERROR(R142),"",INDEX(Sob!A:A,'Где автомобиль'!$R142))</f>
      </c>
      <c r="H142" s="41">
        <f>IF(ISERROR(R142),"",INDEX(Sob!B:B,'Где автомобиль'!$R142))</f>
      </c>
      <c r="I142" s="41">
        <f>IF(ISERROR(R142),"",INDEX(Sob!C:C,'Где автомобиль'!$R142))</f>
      </c>
      <c r="J142" s="91">
        <f ca="1" t="shared" si="33"/>
      </c>
      <c r="K142" s="61">
        <f t="shared" si="34"/>
      </c>
      <c r="L142" s="61">
        <f t="shared" si="35"/>
      </c>
      <c r="M142" s="41">
        <f t="shared" si="36"/>
      </c>
      <c r="N142" s="79">
        <f t="shared" si="37"/>
      </c>
      <c r="O142" s="91">
        <f t="shared" si="38"/>
      </c>
      <c r="R142" t="e">
        <f aca="true" ca="1" t="shared" si="39" ref="R142:R173">MATCH($P$2,INDIRECT("sob!d"&amp;R141+1&amp;":d1000"),0)+R141</f>
        <v>#N/A</v>
      </c>
    </row>
    <row r="143" spans="6:18" ht="21.75" customHeight="1">
      <c r="F143">
        <v>131</v>
      </c>
      <c r="G143" s="40">
        <f>IF(ISERROR(R143),"",INDEX(Sob!A:A,'Где автомобиль'!$R143))</f>
      </c>
      <c r="H143" s="41">
        <f>IF(ISERROR(R143),"",INDEX(Sob!B:B,'Где автомобиль'!$R143))</f>
      </c>
      <c r="I143" s="41">
        <f>IF(ISERROR(R143),"",INDEX(Sob!C:C,'Где автомобиль'!$R143))</f>
      </c>
      <c r="J143" s="91">
        <f ca="1" t="shared" si="33"/>
      </c>
      <c r="K143" s="61">
        <f t="shared" si="34"/>
      </c>
      <c r="L143" s="61">
        <f t="shared" si="35"/>
      </c>
      <c r="M143" s="41">
        <f t="shared" si="36"/>
      </c>
      <c r="N143" s="79">
        <f t="shared" si="37"/>
      </c>
      <c r="O143" s="91">
        <f t="shared" si="38"/>
      </c>
      <c r="R143" t="e">
        <f ca="1" t="shared" si="39"/>
        <v>#N/A</v>
      </c>
    </row>
    <row r="144" spans="6:18" ht="21.75" customHeight="1">
      <c r="F144">
        <v>132</v>
      </c>
      <c r="G144" s="40">
        <f>IF(ISERROR(R144),"",INDEX(Sob!A:A,'Где автомобиль'!$R144))</f>
      </c>
      <c r="H144" s="41">
        <f>IF(ISERROR(R144),"",INDEX(Sob!B:B,'Где автомобиль'!$R144))</f>
      </c>
      <c r="I144" s="41">
        <f>IF(ISERROR(R144),"",INDEX(Sob!C:C,'Где автомобиль'!$R144))</f>
      </c>
      <c r="J144" s="91">
        <f ca="1" t="shared" si="33"/>
      </c>
      <c r="K144" s="61">
        <f t="shared" si="34"/>
      </c>
      <c r="L144" s="61">
        <f t="shared" si="35"/>
      </c>
      <c r="M144" s="41">
        <f t="shared" si="36"/>
      </c>
      <c r="N144" s="79">
        <f t="shared" si="37"/>
      </c>
      <c r="O144" s="91">
        <f t="shared" si="38"/>
      </c>
      <c r="R144" t="e">
        <f ca="1" t="shared" si="39"/>
        <v>#N/A</v>
      </c>
    </row>
    <row r="145" spans="6:18" ht="21.75" customHeight="1">
      <c r="F145">
        <v>133</v>
      </c>
      <c r="G145" s="40">
        <f>IF(ISERROR(R145),"",INDEX(Sob!A:A,'Где автомобиль'!$R145))</f>
      </c>
      <c r="H145" s="41">
        <f>IF(ISERROR(R145),"",INDEX(Sob!B:B,'Где автомобиль'!$R145))</f>
      </c>
      <c r="I145" s="41">
        <f>IF(ISERROR(R145),"",INDEX(Sob!C:C,'Где автомобиль'!$R145))</f>
      </c>
      <c r="J145" s="91">
        <f ca="1" t="shared" si="33"/>
      </c>
      <c r="K145" s="61">
        <f t="shared" si="34"/>
      </c>
      <c r="L145" s="61">
        <f t="shared" si="35"/>
      </c>
      <c r="M145" s="41">
        <f t="shared" si="36"/>
      </c>
      <c r="N145" s="79">
        <f t="shared" si="37"/>
      </c>
      <c r="O145" s="91">
        <f t="shared" si="38"/>
      </c>
      <c r="R145" t="e">
        <f ca="1" t="shared" si="39"/>
        <v>#N/A</v>
      </c>
    </row>
    <row r="146" spans="6:18" ht="21.75" customHeight="1">
      <c r="F146">
        <v>134</v>
      </c>
      <c r="G146" s="40">
        <f>IF(ISERROR(R146),"",INDEX(Sob!A:A,'Где автомобиль'!$R146))</f>
      </c>
      <c r="H146" s="41">
        <f>IF(ISERROR(R146),"",INDEX(Sob!B:B,'Где автомобиль'!$R146))</f>
      </c>
      <c r="I146" s="41">
        <f>IF(ISERROR(R146),"",INDEX(Sob!C:C,'Где автомобиль'!$R146))</f>
      </c>
      <c r="J146" s="91">
        <f ca="1" t="shared" si="33"/>
      </c>
      <c r="K146" s="61">
        <f t="shared" si="34"/>
      </c>
      <c r="L146" s="61">
        <f t="shared" si="35"/>
      </c>
      <c r="M146" s="41">
        <f t="shared" si="36"/>
      </c>
      <c r="N146" s="79">
        <f t="shared" si="37"/>
      </c>
      <c r="O146" s="91">
        <f t="shared" si="38"/>
      </c>
      <c r="R146" t="e">
        <f ca="1" t="shared" si="39"/>
        <v>#N/A</v>
      </c>
    </row>
    <row r="147" spans="6:18" ht="21.75" customHeight="1">
      <c r="F147">
        <v>135</v>
      </c>
      <c r="G147" s="40">
        <f>IF(ISERROR(R147),"",INDEX(Sob!A:A,'Где автомобиль'!$R147))</f>
      </c>
      <c r="H147" s="41">
        <f>IF(ISERROR(R147),"",INDEX(Sob!B:B,'Где автомобиль'!$R147))</f>
      </c>
      <c r="I147" s="41">
        <f>IF(ISERROR(R147),"",INDEX(Sob!C:C,'Где автомобиль'!$R147))</f>
      </c>
      <c r="J147" s="91">
        <f ca="1" t="shared" si="33"/>
      </c>
      <c r="K147" s="61">
        <f t="shared" si="34"/>
      </c>
      <c r="L147" s="61">
        <f t="shared" si="35"/>
      </c>
      <c r="M147" s="41">
        <f t="shared" si="36"/>
      </c>
      <c r="N147" s="79">
        <f t="shared" si="37"/>
      </c>
      <c r="O147" s="91">
        <f t="shared" si="38"/>
      </c>
      <c r="R147" t="e">
        <f ca="1" t="shared" si="39"/>
        <v>#N/A</v>
      </c>
    </row>
    <row r="148" spans="6:18" ht="21.75" customHeight="1">
      <c r="F148">
        <v>136</v>
      </c>
      <c r="G148" s="40">
        <f>IF(ISERROR(R148),"",INDEX(Sob!A:A,'Где автомобиль'!$R148))</f>
      </c>
      <c r="H148" s="41">
        <f>IF(ISERROR(R148),"",INDEX(Sob!B:B,'Где автомобиль'!$R148))</f>
      </c>
      <c r="I148" s="41">
        <f>IF(ISERROR(R148),"",INDEX(Sob!C:C,'Где автомобиль'!$R148))</f>
      </c>
      <c r="J148" s="91">
        <f ca="1" t="shared" si="33"/>
      </c>
      <c r="K148" s="61">
        <f t="shared" si="34"/>
      </c>
      <c r="L148" s="61">
        <f t="shared" si="35"/>
      </c>
      <c r="M148" s="41">
        <f t="shared" si="36"/>
      </c>
      <c r="N148" s="79">
        <f t="shared" si="37"/>
      </c>
      <c r="O148" s="91">
        <f t="shared" si="38"/>
      </c>
      <c r="R148" t="e">
        <f ca="1" t="shared" si="39"/>
        <v>#N/A</v>
      </c>
    </row>
    <row r="149" spans="6:18" ht="21.75" customHeight="1">
      <c r="F149">
        <v>137</v>
      </c>
      <c r="G149" s="40">
        <f>IF(ISERROR(R149),"",INDEX(Sob!A:A,'Где автомобиль'!$R149))</f>
      </c>
      <c r="H149" s="41">
        <f>IF(ISERROR(R149),"",INDEX(Sob!B:B,'Где автомобиль'!$R149))</f>
      </c>
      <c r="I149" s="41">
        <f>IF(ISERROR(R149),"",INDEX(Sob!C:C,'Где автомобиль'!$R149))</f>
      </c>
      <c r="J149" s="91">
        <f ca="1" t="shared" si="33"/>
      </c>
      <c r="K149" s="61">
        <f t="shared" si="34"/>
      </c>
      <c r="L149" s="61">
        <f t="shared" si="35"/>
      </c>
      <c r="M149" s="41">
        <f t="shared" si="36"/>
      </c>
      <c r="N149" s="79">
        <f t="shared" si="37"/>
      </c>
      <c r="O149" s="91">
        <f t="shared" si="38"/>
      </c>
      <c r="R149" t="e">
        <f ca="1" t="shared" si="39"/>
        <v>#N/A</v>
      </c>
    </row>
    <row r="150" spans="6:18" ht="21.75" customHeight="1">
      <c r="F150">
        <v>138</v>
      </c>
      <c r="G150" s="40">
        <f>IF(ISERROR(R150),"",INDEX(Sob!A:A,'Где автомобиль'!$R150))</f>
      </c>
      <c r="H150" s="41">
        <f>IF(ISERROR(R150),"",INDEX(Sob!B:B,'Где автомобиль'!$R150))</f>
      </c>
      <c r="I150" s="41">
        <f>IF(ISERROR(R150),"",INDEX(Sob!C:C,'Где автомобиль'!$R150))</f>
      </c>
      <c r="J150" s="91">
        <f ca="1" t="shared" si="33"/>
      </c>
      <c r="K150" s="61">
        <f t="shared" si="34"/>
      </c>
      <c r="L150" s="61">
        <f t="shared" si="35"/>
      </c>
      <c r="M150" s="41">
        <f t="shared" si="36"/>
      </c>
      <c r="N150" s="79">
        <f t="shared" si="37"/>
      </c>
      <c r="O150" s="91">
        <f t="shared" si="38"/>
      </c>
      <c r="R150" t="e">
        <f ca="1" t="shared" si="39"/>
        <v>#N/A</v>
      </c>
    </row>
    <row r="151" spans="6:18" ht="21.75" customHeight="1">
      <c r="F151">
        <v>139</v>
      </c>
      <c r="G151" s="40">
        <f>IF(ISERROR(R151),"",INDEX(Sob!A:A,'Где автомобиль'!$R151))</f>
      </c>
      <c r="H151" s="41">
        <f>IF(ISERROR(R151),"",INDEX(Sob!B:B,'Где автомобиль'!$R151))</f>
      </c>
      <c r="I151" s="41">
        <f>IF(ISERROR(R151),"",INDEX(Sob!C:C,'Где автомобиль'!$R151))</f>
      </c>
      <c r="J151" s="91">
        <f ca="1" t="shared" si="33"/>
      </c>
      <c r="K151" s="61">
        <f t="shared" si="34"/>
      </c>
      <c r="L151" s="61">
        <f t="shared" si="35"/>
      </c>
      <c r="M151" s="41">
        <f t="shared" si="36"/>
      </c>
      <c r="N151" s="79">
        <f t="shared" si="37"/>
      </c>
      <c r="O151" s="91">
        <f t="shared" si="38"/>
      </c>
      <c r="R151" t="e">
        <f ca="1" t="shared" si="39"/>
        <v>#N/A</v>
      </c>
    </row>
    <row r="152" spans="6:18" ht="21.75" customHeight="1">
      <c r="F152">
        <v>140</v>
      </c>
      <c r="G152" s="40">
        <f>IF(ISERROR(R152),"",INDEX(Sob!A:A,'Где автомобиль'!$R152))</f>
      </c>
      <c r="H152" s="41">
        <f>IF(ISERROR(R152),"",INDEX(Sob!B:B,'Где автомобиль'!$R152))</f>
      </c>
      <c r="I152" s="41">
        <f>IF(ISERROR(R152),"",INDEX(Sob!C:C,'Где автомобиль'!$R152))</f>
      </c>
      <c r="J152" s="91">
        <f ca="1" t="shared" si="33"/>
      </c>
      <c r="K152" s="61">
        <f t="shared" si="34"/>
      </c>
      <c r="L152" s="61">
        <f t="shared" si="35"/>
      </c>
      <c r="M152" s="41">
        <f t="shared" si="36"/>
      </c>
      <c r="N152" s="79">
        <f t="shared" si="37"/>
      </c>
      <c r="O152" s="91">
        <f t="shared" si="38"/>
      </c>
      <c r="R152" t="e">
        <f ca="1" t="shared" si="39"/>
        <v>#N/A</v>
      </c>
    </row>
    <row r="153" spans="6:18" ht="21.75" customHeight="1">
      <c r="F153">
        <v>141</v>
      </c>
      <c r="G153" s="40">
        <f>IF(ISERROR(R153),"",INDEX(Sob!A:A,'Где автомобиль'!$R153))</f>
      </c>
      <c r="H153" s="41">
        <f>IF(ISERROR(R153),"",INDEX(Sob!B:B,'Где автомобиль'!$R153))</f>
      </c>
      <c r="I153" s="41">
        <f>IF(ISERROR(R153),"",INDEX(Sob!C:C,'Где автомобиль'!$R153))</f>
      </c>
      <c r="J153" s="91">
        <f ca="1" t="shared" si="33"/>
      </c>
      <c r="K153" s="61">
        <f t="shared" si="34"/>
      </c>
      <c r="L153" s="61">
        <f t="shared" si="35"/>
      </c>
      <c r="M153" s="41">
        <f t="shared" si="36"/>
      </c>
      <c r="N153" s="79">
        <f t="shared" si="37"/>
      </c>
      <c r="O153" s="91">
        <f t="shared" si="38"/>
      </c>
      <c r="R153" t="e">
        <f ca="1" t="shared" si="39"/>
        <v>#N/A</v>
      </c>
    </row>
    <row r="154" spans="6:18" ht="21.75" customHeight="1">
      <c r="F154">
        <v>142</v>
      </c>
      <c r="G154" s="40">
        <f>IF(ISERROR(R154),"",INDEX(Sob!A:A,'Где автомобиль'!$R154))</f>
      </c>
      <c r="H154" s="41">
        <f>IF(ISERROR(R154),"",INDEX(Sob!B:B,'Где автомобиль'!$R154))</f>
      </c>
      <c r="I154" s="41">
        <f>IF(ISERROR(R154),"",INDEX(Sob!C:C,'Где автомобиль'!$R154))</f>
      </c>
      <c r="J154" s="91">
        <f ca="1" t="shared" si="33"/>
      </c>
      <c r="K154" s="61">
        <f t="shared" si="34"/>
      </c>
      <c r="L154" s="61">
        <f t="shared" si="35"/>
      </c>
      <c r="M154" s="41">
        <f t="shared" si="36"/>
      </c>
      <c r="N154" s="79">
        <f t="shared" si="37"/>
      </c>
      <c r="O154" s="91">
        <f t="shared" si="38"/>
      </c>
      <c r="R154" t="e">
        <f ca="1" t="shared" si="39"/>
        <v>#N/A</v>
      </c>
    </row>
    <row r="155" spans="6:18" ht="21.75" customHeight="1">
      <c r="F155">
        <v>143</v>
      </c>
      <c r="G155" s="40">
        <f>IF(ISERROR(R155),"",INDEX(Sob!A:A,'Где автомобиль'!$R155))</f>
      </c>
      <c r="H155" s="41">
        <f>IF(ISERROR(R155),"",INDEX(Sob!B:B,'Где автомобиль'!$R155))</f>
      </c>
      <c r="I155" s="41">
        <f>IF(ISERROR(R155),"",INDEX(Sob!C:C,'Где автомобиль'!$R155))</f>
      </c>
      <c r="J155" s="91">
        <f ca="1" t="shared" si="33"/>
      </c>
      <c r="K155" s="61">
        <f t="shared" si="34"/>
      </c>
      <c r="L155" s="61">
        <f t="shared" si="35"/>
      </c>
      <c r="M155" s="41">
        <f t="shared" si="36"/>
      </c>
      <c r="N155" s="79">
        <f t="shared" si="37"/>
      </c>
      <c r="O155" s="91">
        <f t="shared" si="38"/>
      </c>
      <c r="R155" t="e">
        <f ca="1" t="shared" si="39"/>
        <v>#N/A</v>
      </c>
    </row>
    <row r="156" spans="6:18" ht="21.75" customHeight="1">
      <c r="F156">
        <v>144</v>
      </c>
      <c r="G156" s="40">
        <f>IF(ISERROR(R156),"",INDEX(Sob!A:A,'Где автомобиль'!$R156))</f>
      </c>
      <c r="H156" s="41">
        <f>IF(ISERROR(R156),"",INDEX(Sob!B:B,'Где автомобиль'!$R156))</f>
      </c>
      <c r="I156" s="41">
        <f>IF(ISERROR(R156),"",INDEX(Sob!C:C,'Где автомобиль'!$R156))</f>
      </c>
      <c r="J156" s="91">
        <f ca="1" t="shared" si="33"/>
      </c>
      <c r="K156" s="61">
        <f t="shared" si="34"/>
      </c>
      <c r="L156" s="61">
        <f t="shared" si="35"/>
      </c>
      <c r="M156" s="41">
        <f t="shared" si="36"/>
      </c>
      <c r="N156" s="79">
        <f t="shared" si="37"/>
      </c>
      <c r="O156" s="91">
        <f t="shared" si="38"/>
      </c>
      <c r="R156" t="e">
        <f ca="1" t="shared" si="39"/>
        <v>#N/A</v>
      </c>
    </row>
    <row r="157" spans="6:18" ht="21.75" customHeight="1">
      <c r="F157">
        <v>145</v>
      </c>
      <c r="G157" s="40">
        <f>IF(ISERROR(R157),"",INDEX(Sob!A:A,'Где автомобиль'!$R157))</f>
      </c>
      <c r="H157" s="41">
        <f>IF(ISERROR(R157),"",INDEX(Sob!B:B,'Где автомобиль'!$R157))</f>
      </c>
      <c r="I157" s="41">
        <f>IF(ISERROR(R157),"",INDEX(Sob!C:C,'Где автомобиль'!$R157))</f>
      </c>
      <c r="J157" s="91">
        <f ca="1" t="shared" si="33"/>
      </c>
      <c r="K157" s="61">
        <f t="shared" si="34"/>
      </c>
      <c r="L157" s="61">
        <f t="shared" si="35"/>
      </c>
      <c r="M157" s="41">
        <f t="shared" si="36"/>
      </c>
      <c r="N157" s="79">
        <f t="shared" si="37"/>
      </c>
      <c r="O157" s="91">
        <f t="shared" si="38"/>
      </c>
      <c r="R157" t="e">
        <f ca="1" t="shared" si="39"/>
        <v>#N/A</v>
      </c>
    </row>
    <row r="158" spans="6:18" ht="21.75" customHeight="1">
      <c r="F158">
        <v>146</v>
      </c>
      <c r="G158" s="40">
        <f>IF(ISERROR(R158),"",INDEX(Sob!A:A,'Где автомобиль'!$R158))</f>
      </c>
      <c r="H158" s="41">
        <f>IF(ISERROR(R158),"",INDEX(Sob!B:B,'Где автомобиль'!$R158))</f>
      </c>
      <c r="I158" s="41">
        <f>IF(ISERROR(R158),"",INDEX(Sob!C:C,'Где автомобиль'!$R158))</f>
      </c>
      <c r="J158" s="91">
        <f ca="1" t="shared" si="33"/>
      </c>
      <c r="K158" s="61">
        <f t="shared" si="34"/>
      </c>
      <c r="L158" s="61">
        <f t="shared" si="35"/>
      </c>
      <c r="M158" s="41">
        <f t="shared" si="36"/>
      </c>
      <c r="N158" s="79">
        <f t="shared" si="37"/>
      </c>
      <c r="O158" s="91">
        <f t="shared" si="38"/>
      </c>
      <c r="R158" t="e">
        <f ca="1" t="shared" si="39"/>
        <v>#N/A</v>
      </c>
    </row>
    <row r="159" spans="6:18" ht="21.75" customHeight="1">
      <c r="F159">
        <v>147</v>
      </c>
      <c r="G159" s="40">
        <f>IF(ISERROR(R159),"",INDEX(Sob!A:A,'Где автомобиль'!$R159))</f>
      </c>
      <c r="H159" s="41">
        <f>IF(ISERROR(R159),"",INDEX(Sob!B:B,'Где автомобиль'!$R159))</f>
      </c>
      <c r="I159" s="41">
        <f>IF(ISERROR(R159),"",INDEX(Sob!C:C,'Где автомобиль'!$R159))</f>
      </c>
      <c r="J159" s="91">
        <f ca="1" t="shared" si="33"/>
      </c>
      <c r="K159" s="61">
        <f t="shared" si="34"/>
      </c>
      <c r="L159" s="61">
        <f t="shared" si="35"/>
      </c>
      <c r="M159" s="41">
        <f t="shared" si="36"/>
      </c>
      <c r="N159" s="79">
        <f t="shared" si="37"/>
      </c>
      <c r="O159" s="91">
        <f t="shared" si="38"/>
      </c>
      <c r="R159" t="e">
        <f ca="1" t="shared" si="39"/>
        <v>#N/A</v>
      </c>
    </row>
    <row r="160" spans="6:18" ht="21.75" customHeight="1">
      <c r="F160">
        <v>148</v>
      </c>
      <c r="G160" s="40">
        <f>IF(ISERROR(R160),"",INDEX(Sob!A:A,'Где автомобиль'!$R160))</f>
      </c>
      <c r="H160" s="41">
        <f>IF(ISERROR(R160),"",INDEX(Sob!B:B,'Где автомобиль'!$R160))</f>
      </c>
      <c r="I160" s="41">
        <f>IF(ISERROR(R160),"",INDEX(Sob!C:C,'Где автомобиль'!$R160))</f>
      </c>
      <c r="J160" s="91">
        <f ca="1" t="shared" si="33"/>
      </c>
      <c r="K160" s="61">
        <f t="shared" si="34"/>
      </c>
      <c r="L160" s="61">
        <f t="shared" si="35"/>
      </c>
      <c r="M160" s="41">
        <f t="shared" si="36"/>
      </c>
      <c r="N160" s="79">
        <f t="shared" si="37"/>
      </c>
      <c r="O160" s="91">
        <f t="shared" si="38"/>
      </c>
      <c r="R160" t="e">
        <f ca="1" t="shared" si="39"/>
        <v>#N/A</v>
      </c>
    </row>
    <row r="161" spans="6:18" ht="21.75" customHeight="1">
      <c r="F161">
        <v>149</v>
      </c>
      <c r="G161" s="40">
        <f>IF(ISERROR(R161),"",INDEX(Sob!A:A,'Где автомобиль'!$R161))</f>
      </c>
      <c r="H161" s="41">
        <f>IF(ISERROR(R161),"",INDEX(Sob!B:B,'Где автомобиль'!$R161))</f>
      </c>
      <c r="I161" s="41">
        <f>IF(ISERROR(R161),"",INDEX(Sob!C:C,'Где автомобиль'!$R161))</f>
      </c>
      <c r="J161" s="91">
        <f ca="1" t="shared" si="33"/>
      </c>
      <c r="K161" s="61">
        <f t="shared" si="34"/>
      </c>
      <c r="L161" s="61">
        <f t="shared" si="35"/>
      </c>
      <c r="M161" s="41">
        <f t="shared" si="36"/>
      </c>
      <c r="N161" s="79">
        <f t="shared" si="37"/>
      </c>
      <c r="O161" s="91">
        <f t="shared" si="38"/>
      </c>
      <c r="R161" t="e">
        <f ca="1" t="shared" si="39"/>
        <v>#N/A</v>
      </c>
    </row>
    <row r="162" spans="6:18" ht="21.75" customHeight="1">
      <c r="F162">
        <v>150</v>
      </c>
      <c r="G162" s="40">
        <f>IF(ISERROR(R162),"",INDEX(Sob!A:A,'Где автомобиль'!$R162))</f>
      </c>
      <c r="H162" s="41">
        <f>IF(ISERROR(R162),"",INDEX(Sob!B:B,'Где автомобиль'!$R162))</f>
      </c>
      <c r="I162" s="41">
        <f>IF(ISERROR(R162),"",INDEX(Sob!C:C,'Где автомобиль'!$R162))</f>
      </c>
      <c r="J162" s="91">
        <f ca="1" t="shared" si="33"/>
      </c>
      <c r="K162" s="61">
        <f t="shared" si="34"/>
      </c>
      <c r="L162" s="61">
        <f t="shared" si="35"/>
      </c>
      <c r="M162" s="41">
        <f t="shared" si="36"/>
      </c>
      <c r="N162" s="79">
        <f t="shared" si="37"/>
      </c>
      <c r="O162" s="91">
        <f t="shared" si="38"/>
      </c>
      <c r="R162" t="e">
        <f ca="1" t="shared" si="39"/>
        <v>#N/A</v>
      </c>
    </row>
    <row r="163" spans="6:18" ht="21.75" customHeight="1">
      <c r="F163">
        <v>151</v>
      </c>
      <c r="G163" s="40">
        <f>IF(ISERROR(R163),"",INDEX(Sob!A:A,'Где автомобиль'!$R163))</f>
      </c>
      <c r="H163" s="41">
        <f>IF(ISERROR(R163),"",INDEX(Sob!B:B,'Где автомобиль'!$R163))</f>
      </c>
      <c r="I163" s="41">
        <f>IF(ISERROR(R163),"",INDEX(Sob!C:C,'Где автомобиль'!$R163))</f>
      </c>
      <c r="J163" s="91">
        <f ca="1" t="shared" si="33"/>
      </c>
      <c r="K163" s="61">
        <f t="shared" si="34"/>
      </c>
      <c r="L163" s="61">
        <f t="shared" si="35"/>
      </c>
      <c r="M163" s="41">
        <f t="shared" si="36"/>
      </c>
      <c r="N163" s="79">
        <f t="shared" si="37"/>
      </c>
      <c r="O163" s="91">
        <f t="shared" si="38"/>
      </c>
      <c r="R163" t="e">
        <f ca="1" t="shared" si="39"/>
        <v>#N/A</v>
      </c>
    </row>
    <row r="164" spans="6:18" ht="21.75" customHeight="1">
      <c r="F164">
        <v>152</v>
      </c>
      <c r="G164" s="40">
        <f>IF(ISERROR(R164),"",INDEX(Sob!A:A,'Где автомобиль'!$R164))</f>
      </c>
      <c r="H164" s="41">
        <f>IF(ISERROR(R164),"",INDEX(Sob!B:B,'Где автомобиль'!$R164))</f>
      </c>
      <c r="I164" s="41">
        <f>IF(ISERROR(R164),"",INDEX(Sob!C:C,'Где автомобиль'!$R164))</f>
      </c>
      <c r="J164" s="91">
        <f ca="1" t="shared" si="33"/>
      </c>
      <c r="K164" s="61">
        <f t="shared" si="34"/>
      </c>
      <c r="L164" s="61">
        <f t="shared" si="35"/>
      </c>
      <c r="M164" s="41">
        <f t="shared" si="36"/>
      </c>
      <c r="N164" s="79">
        <f t="shared" si="37"/>
      </c>
      <c r="O164" s="91">
        <f t="shared" si="38"/>
      </c>
      <c r="R164" t="e">
        <f ca="1" t="shared" si="39"/>
        <v>#N/A</v>
      </c>
    </row>
    <row r="165" spans="6:18" ht="21.75" customHeight="1">
      <c r="F165">
        <v>153</v>
      </c>
      <c r="G165" s="40">
        <f>IF(ISERROR(R165),"",INDEX(Sob!A:A,'Где автомобиль'!$R165))</f>
      </c>
      <c r="H165" s="41">
        <f>IF(ISERROR(R165),"",INDEX(Sob!B:B,'Где автомобиль'!$R165))</f>
      </c>
      <c r="I165" s="41">
        <f>IF(ISERROR(R165),"",INDEX(Sob!C:C,'Где автомобиль'!$R165))</f>
      </c>
      <c r="J165" s="91">
        <f ca="1" t="shared" si="33"/>
      </c>
      <c r="K165" s="61">
        <f t="shared" si="34"/>
      </c>
      <c r="L165" s="61">
        <f t="shared" si="35"/>
      </c>
      <c r="M165" s="41">
        <f t="shared" si="36"/>
      </c>
      <c r="N165" s="79">
        <f t="shared" si="37"/>
      </c>
      <c r="O165" s="91">
        <f t="shared" si="38"/>
      </c>
      <c r="R165" t="e">
        <f ca="1" t="shared" si="39"/>
        <v>#N/A</v>
      </c>
    </row>
    <row r="166" spans="6:18" ht="21.75" customHeight="1">
      <c r="F166">
        <v>154</v>
      </c>
      <c r="G166" s="40">
        <f>IF(ISERROR(R166),"",INDEX(Sob!A:A,'Где автомобиль'!$R166))</f>
      </c>
      <c r="H166" s="41">
        <f>IF(ISERROR(R166),"",INDEX(Sob!B:B,'Где автомобиль'!$R166))</f>
      </c>
      <c r="I166" s="41">
        <f>IF(ISERROR(R166),"",INDEX(Sob!C:C,'Где автомобиль'!$R166))</f>
      </c>
      <c r="J166" s="91">
        <f ca="1" t="shared" si="33"/>
      </c>
      <c r="K166" s="61">
        <f t="shared" si="34"/>
      </c>
      <c r="L166" s="61">
        <f t="shared" si="35"/>
      </c>
      <c r="M166" s="41">
        <f t="shared" si="36"/>
      </c>
      <c r="N166" s="79">
        <f t="shared" si="37"/>
      </c>
      <c r="O166" s="91">
        <f t="shared" si="38"/>
      </c>
      <c r="R166" t="e">
        <f ca="1" t="shared" si="39"/>
        <v>#N/A</v>
      </c>
    </row>
    <row r="167" spans="6:18" ht="21.75" customHeight="1">
      <c r="F167">
        <v>155</v>
      </c>
      <c r="G167" s="40">
        <f>IF(ISERROR(R167),"",INDEX(Sob!A:A,'Где автомобиль'!$R167))</f>
      </c>
      <c r="H167" s="41">
        <f>IF(ISERROR(R167),"",INDEX(Sob!B:B,'Где автомобиль'!$R167))</f>
      </c>
      <c r="I167" s="41">
        <f>IF(ISERROR(R167),"",INDEX(Sob!C:C,'Где автомобиль'!$R167))</f>
      </c>
      <c r="J167" s="91">
        <f ca="1" t="shared" si="33"/>
      </c>
      <c r="K167" s="61">
        <f t="shared" si="34"/>
      </c>
      <c r="L167" s="61">
        <f t="shared" si="35"/>
      </c>
      <c r="M167" s="41">
        <f t="shared" si="36"/>
      </c>
      <c r="N167" s="79">
        <f t="shared" si="37"/>
      </c>
      <c r="O167" s="91">
        <f t="shared" si="38"/>
      </c>
      <c r="R167" t="e">
        <f ca="1" t="shared" si="39"/>
        <v>#N/A</v>
      </c>
    </row>
    <row r="168" spans="6:18" ht="21.75" customHeight="1">
      <c r="F168">
        <v>156</v>
      </c>
      <c r="G168" s="40">
        <f>IF(ISERROR(R168),"",INDEX(Sob!A:A,'Где автомобиль'!$R168))</f>
      </c>
      <c r="H168" s="41">
        <f>IF(ISERROR(R168),"",INDEX(Sob!B:B,'Где автомобиль'!$R168))</f>
      </c>
      <c r="I168" s="41">
        <f>IF(ISERROR(R168),"",INDEX(Sob!C:C,'Где автомобиль'!$R168))</f>
      </c>
      <c r="J168" s="91">
        <f ca="1" t="shared" si="33"/>
      </c>
      <c r="K168" s="61">
        <f t="shared" si="34"/>
      </c>
      <c r="L168" s="61">
        <f t="shared" si="35"/>
      </c>
      <c r="M168" s="41">
        <f t="shared" si="36"/>
      </c>
      <c r="N168" s="79">
        <f t="shared" si="37"/>
      </c>
      <c r="O168" s="91">
        <f t="shared" si="38"/>
      </c>
      <c r="R168" t="e">
        <f ca="1" t="shared" si="39"/>
        <v>#N/A</v>
      </c>
    </row>
    <row r="169" spans="6:18" ht="21.75" customHeight="1">
      <c r="F169">
        <v>157</v>
      </c>
      <c r="G169" s="40">
        <f>IF(ISERROR(R169),"",INDEX(Sob!A:A,'Где автомобиль'!$R169))</f>
      </c>
      <c r="H169" s="41">
        <f>IF(ISERROR(R169),"",INDEX(Sob!B:B,'Где автомобиль'!$R169))</f>
      </c>
      <c r="I169" s="41">
        <f>IF(ISERROR(R169),"",INDEX(Sob!C:C,'Где автомобиль'!$R169))</f>
      </c>
      <c r="J169" s="91">
        <f ca="1" t="shared" si="33"/>
      </c>
      <c r="K169" s="61">
        <f t="shared" si="34"/>
      </c>
      <c r="L169" s="61">
        <f t="shared" si="35"/>
      </c>
      <c r="M169" s="41">
        <f t="shared" si="36"/>
      </c>
      <c r="N169" s="79">
        <f t="shared" si="37"/>
      </c>
      <c r="O169" s="91">
        <f t="shared" si="38"/>
      </c>
      <c r="R169" t="e">
        <f ca="1" t="shared" si="39"/>
        <v>#N/A</v>
      </c>
    </row>
    <row r="170" spans="6:18" ht="21.75" customHeight="1">
      <c r="F170">
        <v>158</v>
      </c>
      <c r="G170" s="40">
        <f>IF(ISERROR(R170),"",INDEX(Sob!A:A,'Где автомобиль'!$R170))</f>
      </c>
      <c r="H170" s="41">
        <f>IF(ISERROR(R170),"",INDEX(Sob!B:B,'Где автомобиль'!$R170))</f>
      </c>
      <c r="I170" s="41">
        <f>IF(ISERROR(R170),"",INDEX(Sob!C:C,'Где автомобиль'!$R170))</f>
      </c>
      <c r="J170" s="91">
        <f ca="1" t="shared" si="33"/>
      </c>
      <c r="K170" s="61">
        <f t="shared" si="34"/>
      </c>
      <c r="L170" s="61">
        <f t="shared" si="35"/>
      </c>
      <c r="M170" s="41">
        <f t="shared" si="36"/>
      </c>
      <c r="N170" s="79">
        <f t="shared" si="37"/>
      </c>
      <c r="O170" s="91">
        <f t="shared" si="38"/>
      </c>
      <c r="R170" t="e">
        <f ca="1" t="shared" si="39"/>
        <v>#N/A</v>
      </c>
    </row>
    <row r="171" spans="6:18" ht="21.75" customHeight="1">
      <c r="F171">
        <v>159</v>
      </c>
      <c r="G171" s="40">
        <f>IF(ISERROR(R171),"",INDEX(Sob!A:A,'Где автомобиль'!$R171))</f>
      </c>
      <c r="H171" s="41">
        <f>IF(ISERROR(R171),"",INDEX(Sob!B:B,'Где автомобиль'!$R171))</f>
      </c>
      <c r="I171" s="41">
        <f>IF(ISERROR(R171),"",INDEX(Sob!C:C,'Где автомобиль'!$R171))</f>
      </c>
      <c r="J171" s="91">
        <f ca="1" t="shared" si="33"/>
      </c>
      <c r="K171" s="61">
        <f t="shared" si="34"/>
      </c>
      <c r="L171" s="61">
        <f t="shared" si="35"/>
      </c>
      <c r="M171" s="41">
        <f t="shared" si="36"/>
      </c>
      <c r="N171" s="79">
        <f t="shared" si="37"/>
      </c>
      <c r="O171" s="91">
        <f t="shared" si="38"/>
      </c>
      <c r="R171" t="e">
        <f ca="1" t="shared" si="39"/>
        <v>#N/A</v>
      </c>
    </row>
    <row r="172" spans="6:18" ht="21.75" customHeight="1">
      <c r="F172">
        <v>160</v>
      </c>
      <c r="G172" s="40">
        <f>IF(ISERROR(R172),"",INDEX(Sob!A:A,'Где автомобиль'!$R172))</f>
      </c>
      <c r="H172" s="41">
        <f>IF(ISERROR(R172),"",INDEX(Sob!B:B,'Где автомобиль'!$R172))</f>
      </c>
      <c r="I172" s="41">
        <f>IF(ISERROR(R172),"",INDEX(Sob!C:C,'Где автомобиль'!$R172))</f>
      </c>
      <c r="J172" s="91">
        <f ca="1" t="shared" si="33"/>
      </c>
      <c r="K172" s="61">
        <f t="shared" si="34"/>
      </c>
      <c r="L172" s="61">
        <f t="shared" si="35"/>
      </c>
      <c r="M172" s="41">
        <f t="shared" si="36"/>
      </c>
      <c r="N172" s="79">
        <f t="shared" si="37"/>
      </c>
      <c r="O172" s="91">
        <f t="shared" si="38"/>
      </c>
      <c r="R172" t="e">
        <f ca="1" t="shared" si="39"/>
        <v>#N/A</v>
      </c>
    </row>
    <row r="173" spans="6:18" ht="21.75" customHeight="1">
      <c r="F173">
        <v>161</v>
      </c>
      <c r="G173" s="40">
        <f>IF(ISERROR(R173),"",INDEX(Sob!A:A,'Где автомобиль'!$R173))</f>
      </c>
      <c r="H173" s="41">
        <f>IF(ISERROR(R173),"",INDEX(Sob!B:B,'Где автомобиль'!$R173))</f>
      </c>
      <c r="I173" s="41">
        <f>IF(ISERROR(R173),"",INDEX(Sob!C:C,'Где автомобиль'!$R173))</f>
      </c>
      <c r="J173" s="91">
        <f aca="true" ca="1" t="shared" si="40" ref="J173:J204">IF(ISERROR(R173),"",DMAX(Sob,1,INDIRECT("R1C"&amp;F173+19&amp;":R2C"&amp;F173+19,0)))</f>
      </c>
      <c r="K173" s="61">
        <f aca="true" t="shared" si="41" ref="K173:K204">IF(ISERROR(R173),"",VLOOKUP(I173,Auto,2,0))</f>
      </c>
      <c r="L173" s="61">
        <f aca="true" t="shared" si="42" ref="L173:L204">IF(ISERROR(R173),"",VLOOKUP(I173,Auto,3,0))</f>
      </c>
      <c r="M173" s="41">
        <f aca="true" t="shared" si="43" ref="M173:M204">IF(ISERROR(R173),"",VLOOKUP(J173,Sob,4,0))</f>
      </c>
      <c r="N173" s="79">
        <f aca="true" t="shared" si="44" ref="N173:N204">IF(ISERROR(R173),"",VLOOKUP(J173,Sob,6,0))</f>
      </c>
      <c r="O173" s="91">
        <f aca="true" t="shared" si="45" ref="O173:O204">IF(ISERROR(R173),"",VLOOKUP(J173,Sob,8,0))</f>
      </c>
      <c r="R173" t="e">
        <f ca="1" t="shared" si="39"/>
        <v>#N/A</v>
      </c>
    </row>
    <row r="174" spans="6:18" ht="21.75" customHeight="1">
      <c r="F174">
        <v>162</v>
      </c>
      <c r="G174" s="40">
        <f>IF(ISERROR(R174),"",INDEX(Sob!A:A,'Где автомобиль'!$R174))</f>
      </c>
      <c r="H174" s="41">
        <f>IF(ISERROR(R174),"",INDEX(Sob!B:B,'Где автомобиль'!$R174))</f>
      </c>
      <c r="I174" s="41">
        <f>IF(ISERROR(R174),"",INDEX(Sob!C:C,'Где автомобиль'!$R174))</f>
      </c>
      <c r="J174" s="91">
        <f ca="1" t="shared" si="40"/>
      </c>
      <c r="K174" s="61">
        <f t="shared" si="41"/>
      </c>
      <c r="L174" s="61">
        <f t="shared" si="42"/>
      </c>
      <c r="M174" s="41">
        <f t="shared" si="43"/>
      </c>
      <c r="N174" s="79">
        <f t="shared" si="44"/>
      </c>
      <c r="O174" s="91">
        <f t="shared" si="45"/>
      </c>
      <c r="R174" t="e">
        <f aca="true" ca="1" t="shared" si="46" ref="R174:R205">MATCH($P$2,INDIRECT("sob!d"&amp;R173+1&amp;":d1000"),0)+R173</f>
        <v>#N/A</v>
      </c>
    </row>
    <row r="175" spans="6:18" ht="21.75" customHeight="1">
      <c r="F175">
        <v>163</v>
      </c>
      <c r="G175" s="40">
        <f>IF(ISERROR(R175),"",INDEX(Sob!A:A,'Где автомобиль'!$R175))</f>
      </c>
      <c r="H175" s="41">
        <f>IF(ISERROR(R175),"",INDEX(Sob!B:B,'Где автомобиль'!$R175))</f>
      </c>
      <c r="I175" s="41">
        <f>IF(ISERROR(R175),"",INDEX(Sob!C:C,'Где автомобиль'!$R175))</f>
      </c>
      <c r="J175" s="91">
        <f ca="1" t="shared" si="40"/>
      </c>
      <c r="K175" s="61">
        <f t="shared" si="41"/>
      </c>
      <c r="L175" s="61">
        <f t="shared" si="42"/>
      </c>
      <c r="M175" s="41">
        <f t="shared" si="43"/>
      </c>
      <c r="N175" s="79">
        <f t="shared" si="44"/>
      </c>
      <c r="O175" s="91">
        <f t="shared" si="45"/>
      </c>
      <c r="R175" t="e">
        <f ca="1" t="shared" si="46"/>
        <v>#N/A</v>
      </c>
    </row>
    <row r="176" spans="6:18" ht="21.75" customHeight="1">
      <c r="F176">
        <v>164</v>
      </c>
      <c r="G176" s="40">
        <f>IF(ISERROR(R176),"",INDEX(Sob!A:A,'Где автомобиль'!$R176))</f>
      </c>
      <c r="H176" s="41">
        <f>IF(ISERROR(R176),"",INDEX(Sob!B:B,'Где автомобиль'!$R176))</f>
      </c>
      <c r="I176" s="41">
        <f>IF(ISERROR(R176),"",INDEX(Sob!C:C,'Где автомобиль'!$R176))</f>
      </c>
      <c r="J176" s="91">
        <f ca="1" t="shared" si="40"/>
      </c>
      <c r="K176" s="61">
        <f t="shared" si="41"/>
      </c>
      <c r="L176" s="61">
        <f t="shared" si="42"/>
      </c>
      <c r="M176" s="41">
        <f t="shared" si="43"/>
      </c>
      <c r="N176" s="79">
        <f t="shared" si="44"/>
      </c>
      <c r="O176" s="91">
        <f t="shared" si="45"/>
      </c>
      <c r="R176" t="e">
        <f ca="1" t="shared" si="46"/>
        <v>#N/A</v>
      </c>
    </row>
    <row r="177" spans="6:18" ht="21.75" customHeight="1">
      <c r="F177">
        <v>165</v>
      </c>
      <c r="G177" s="40">
        <f>IF(ISERROR(R177),"",INDEX(Sob!A:A,'Где автомобиль'!$R177))</f>
      </c>
      <c r="H177" s="41">
        <f>IF(ISERROR(R177),"",INDEX(Sob!B:B,'Где автомобиль'!$R177))</f>
      </c>
      <c r="I177" s="41">
        <f>IF(ISERROR(R177),"",INDEX(Sob!C:C,'Где автомобиль'!$R177))</f>
      </c>
      <c r="J177" s="91">
        <f ca="1" t="shared" si="40"/>
      </c>
      <c r="K177" s="61">
        <f t="shared" si="41"/>
      </c>
      <c r="L177" s="61">
        <f t="shared" si="42"/>
      </c>
      <c r="M177" s="41">
        <f t="shared" si="43"/>
      </c>
      <c r="N177" s="79">
        <f t="shared" si="44"/>
      </c>
      <c r="O177" s="91">
        <f t="shared" si="45"/>
      </c>
      <c r="R177" t="e">
        <f ca="1" t="shared" si="46"/>
        <v>#N/A</v>
      </c>
    </row>
    <row r="178" spans="6:18" ht="21.75" customHeight="1">
      <c r="F178">
        <v>166</v>
      </c>
      <c r="G178" s="40">
        <f>IF(ISERROR(R178),"",INDEX(Sob!A:A,'Где автомобиль'!$R178))</f>
      </c>
      <c r="H178" s="41">
        <f>IF(ISERROR(R178),"",INDEX(Sob!B:B,'Где автомобиль'!$R178))</f>
      </c>
      <c r="I178" s="41">
        <f>IF(ISERROR(R178),"",INDEX(Sob!C:C,'Где автомобиль'!$R178))</f>
      </c>
      <c r="J178" s="91">
        <f ca="1" t="shared" si="40"/>
      </c>
      <c r="K178" s="61">
        <f t="shared" si="41"/>
      </c>
      <c r="L178" s="61">
        <f t="shared" si="42"/>
      </c>
      <c r="M178" s="41">
        <f t="shared" si="43"/>
      </c>
      <c r="N178" s="79">
        <f t="shared" si="44"/>
      </c>
      <c r="O178" s="91">
        <f t="shared" si="45"/>
      </c>
      <c r="R178" t="e">
        <f ca="1" t="shared" si="46"/>
        <v>#N/A</v>
      </c>
    </row>
    <row r="179" spans="6:18" ht="21.75" customHeight="1">
      <c r="F179">
        <v>167</v>
      </c>
      <c r="G179" s="40">
        <f>IF(ISERROR(R179),"",INDEX(Sob!A:A,'Где автомобиль'!$R179))</f>
      </c>
      <c r="H179" s="41">
        <f>IF(ISERROR(R179),"",INDEX(Sob!B:B,'Где автомобиль'!$R179))</f>
      </c>
      <c r="I179" s="41">
        <f>IF(ISERROR(R179),"",INDEX(Sob!C:C,'Где автомобиль'!$R179))</f>
      </c>
      <c r="J179" s="91">
        <f ca="1" t="shared" si="40"/>
      </c>
      <c r="K179" s="61">
        <f t="shared" si="41"/>
      </c>
      <c r="L179" s="61">
        <f t="shared" si="42"/>
      </c>
      <c r="M179" s="41">
        <f t="shared" si="43"/>
      </c>
      <c r="N179" s="79">
        <f t="shared" si="44"/>
      </c>
      <c r="O179" s="91">
        <f t="shared" si="45"/>
      </c>
      <c r="R179" t="e">
        <f ca="1" t="shared" si="46"/>
        <v>#N/A</v>
      </c>
    </row>
    <row r="180" spans="6:18" ht="21.75" customHeight="1">
      <c r="F180">
        <v>168</v>
      </c>
      <c r="G180" s="40">
        <f>IF(ISERROR(R180),"",INDEX(Sob!A:A,'Где автомобиль'!$R180))</f>
      </c>
      <c r="H180" s="41">
        <f>IF(ISERROR(R180),"",INDEX(Sob!B:B,'Где автомобиль'!$R180))</f>
      </c>
      <c r="I180" s="41">
        <f>IF(ISERROR(R180),"",INDEX(Sob!C:C,'Где автомобиль'!$R180))</f>
      </c>
      <c r="J180" s="91">
        <f ca="1" t="shared" si="40"/>
      </c>
      <c r="K180" s="61">
        <f t="shared" si="41"/>
      </c>
      <c r="L180" s="61">
        <f t="shared" si="42"/>
      </c>
      <c r="M180" s="41">
        <f t="shared" si="43"/>
      </c>
      <c r="N180" s="79">
        <f t="shared" si="44"/>
      </c>
      <c r="O180" s="91">
        <f t="shared" si="45"/>
      </c>
      <c r="R180" t="e">
        <f ca="1" t="shared" si="46"/>
        <v>#N/A</v>
      </c>
    </row>
    <row r="181" spans="6:18" ht="21.75" customHeight="1">
      <c r="F181">
        <v>169</v>
      </c>
      <c r="G181" s="40">
        <f>IF(ISERROR(R181),"",INDEX(Sob!A:A,'Где автомобиль'!$R181))</f>
      </c>
      <c r="H181" s="41">
        <f>IF(ISERROR(R181),"",INDEX(Sob!B:B,'Где автомобиль'!$R181))</f>
      </c>
      <c r="I181" s="41">
        <f>IF(ISERROR(R181),"",INDEX(Sob!C:C,'Где автомобиль'!$R181))</f>
      </c>
      <c r="J181" s="91">
        <f ca="1" t="shared" si="40"/>
      </c>
      <c r="K181" s="61">
        <f t="shared" si="41"/>
      </c>
      <c r="L181" s="61">
        <f t="shared" si="42"/>
      </c>
      <c r="M181" s="41">
        <f t="shared" si="43"/>
      </c>
      <c r="N181" s="79">
        <f t="shared" si="44"/>
      </c>
      <c r="O181" s="91">
        <f t="shared" si="45"/>
      </c>
      <c r="R181" t="e">
        <f ca="1" t="shared" si="46"/>
        <v>#N/A</v>
      </c>
    </row>
    <row r="182" spans="6:18" ht="21.75" customHeight="1">
      <c r="F182">
        <v>170</v>
      </c>
      <c r="G182" s="40">
        <f>IF(ISERROR(R182),"",INDEX(Sob!A:A,'Где автомобиль'!$R182))</f>
      </c>
      <c r="H182" s="41">
        <f>IF(ISERROR(R182),"",INDEX(Sob!B:B,'Где автомобиль'!$R182))</f>
      </c>
      <c r="I182" s="41">
        <f>IF(ISERROR(R182),"",INDEX(Sob!C:C,'Где автомобиль'!$R182))</f>
      </c>
      <c r="J182" s="91">
        <f ca="1" t="shared" si="40"/>
      </c>
      <c r="K182" s="61">
        <f t="shared" si="41"/>
      </c>
      <c r="L182" s="61">
        <f t="shared" si="42"/>
      </c>
      <c r="M182" s="41">
        <f t="shared" si="43"/>
      </c>
      <c r="N182" s="79">
        <f t="shared" si="44"/>
      </c>
      <c r="O182" s="91">
        <f t="shared" si="45"/>
      </c>
      <c r="R182" t="e">
        <f ca="1" t="shared" si="46"/>
        <v>#N/A</v>
      </c>
    </row>
    <row r="183" spans="6:18" ht="21.75" customHeight="1">
      <c r="F183">
        <v>171</v>
      </c>
      <c r="G183" s="40">
        <f>IF(ISERROR(R183),"",INDEX(Sob!A:A,'Где автомобиль'!$R183))</f>
      </c>
      <c r="H183" s="41">
        <f>IF(ISERROR(R183),"",INDEX(Sob!B:B,'Где автомобиль'!$R183))</f>
      </c>
      <c r="I183" s="41">
        <f>IF(ISERROR(R183),"",INDEX(Sob!C:C,'Где автомобиль'!$R183))</f>
      </c>
      <c r="J183" s="91">
        <f ca="1" t="shared" si="40"/>
      </c>
      <c r="K183" s="61">
        <f t="shared" si="41"/>
      </c>
      <c r="L183" s="61">
        <f t="shared" si="42"/>
      </c>
      <c r="M183" s="41">
        <f t="shared" si="43"/>
      </c>
      <c r="N183" s="79">
        <f t="shared" si="44"/>
      </c>
      <c r="O183" s="91">
        <f t="shared" si="45"/>
      </c>
      <c r="R183" t="e">
        <f ca="1" t="shared" si="46"/>
        <v>#N/A</v>
      </c>
    </row>
    <row r="184" spans="6:18" ht="21.75" customHeight="1">
      <c r="F184">
        <v>172</v>
      </c>
      <c r="G184" s="40">
        <f>IF(ISERROR(R184),"",INDEX(Sob!A:A,'Где автомобиль'!$R184))</f>
      </c>
      <c r="H184" s="41">
        <f>IF(ISERROR(R184),"",INDEX(Sob!B:B,'Где автомобиль'!$R184))</f>
      </c>
      <c r="I184" s="41">
        <f>IF(ISERROR(R184),"",INDEX(Sob!C:C,'Где автомобиль'!$R184))</f>
      </c>
      <c r="J184" s="91">
        <f ca="1" t="shared" si="40"/>
      </c>
      <c r="K184" s="61">
        <f t="shared" si="41"/>
      </c>
      <c r="L184" s="61">
        <f t="shared" si="42"/>
      </c>
      <c r="M184" s="41">
        <f t="shared" si="43"/>
      </c>
      <c r="N184" s="79">
        <f t="shared" si="44"/>
      </c>
      <c r="O184" s="91">
        <f t="shared" si="45"/>
      </c>
      <c r="R184" t="e">
        <f ca="1" t="shared" si="46"/>
        <v>#N/A</v>
      </c>
    </row>
    <row r="185" spans="6:18" ht="21.75" customHeight="1">
      <c r="F185">
        <v>173</v>
      </c>
      <c r="G185" s="40">
        <f>IF(ISERROR(R185),"",INDEX(Sob!A:A,'Где автомобиль'!$R185))</f>
      </c>
      <c r="H185" s="41">
        <f>IF(ISERROR(R185),"",INDEX(Sob!B:B,'Где автомобиль'!$R185))</f>
      </c>
      <c r="I185" s="41">
        <f>IF(ISERROR(R185),"",INDEX(Sob!C:C,'Где автомобиль'!$R185))</f>
      </c>
      <c r="J185" s="91">
        <f ca="1" t="shared" si="40"/>
      </c>
      <c r="K185" s="61">
        <f t="shared" si="41"/>
      </c>
      <c r="L185" s="61">
        <f t="shared" si="42"/>
      </c>
      <c r="M185" s="41">
        <f t="shared" si="43"/>
      </c>
      <c r="N185" s="79">
        <f t="shared" si="44"/>
      </c>
      <c r="O185" s="91">
        <f t="shared" si="45"/>
      </c>
      <c r="R185" t="e">
        <f ca="1" t="shared" si="46"/>
        <v>#N/A</v>
      </c>
    </row>
    <row r="186" spans="6:18" ht="21.75" customHeight="1">
      <c r="F186">
        <v>174</v>
      </c>
      <c r="G186" s="40">
        <f>IF(ISERROR(R186),"",INDEX(Sob!A:A,'Где автомобиль'!$R186))</f>
      </c>
      <c r="H186" s="41">
        <f>IF(ISERROR(R186),"",INDEX(Sob!B:B,'Где автомобиль'!$R186))</f>
      </c>
      <c r="I186" s="41">
        <f>IF(ISERROR(R186),"",INDEX(Sob!C:C,'Где автомобиль'!$R186))</f>
      </c>
      <c r="J186" s="91">
        <f ca="1" t="shared" si="40"/>
      </c>
      <c r="K186" s="61">
        <f t="shared" si="41"/>
      </c>
      <c r="L186" s="61">
        <f t="shared" si="42"/>
      </c>
      <c r="M186" s="41">
        <f t="shared" si="43"/>
      </c>
      <c r="N186" s="79">
        <f t="shared" si="44"/>
      </c>
      <c r="O186" s="91">
        <f t="shared" si="45"/>
      </c>
      <c r="R186" t="e">
        <f ca="1" t="shared" si="46"/>
        <v>#N/A</v>
      </c>
    </row>
    <row r="187" spans="6:18" ht="21.75" customHeight="1">
      <c r="F187">
        <v>175</v>
      </c>
      <c r="G187" s="40">
        <f>IF(ISERROR(R187),"",INDEX(Sob!A:A,'Где автомобиль'!$R187))</f>
      </c>
      <c r="H187" s="41">
        <f>IF(ISERROR(R187),"",INDEX(Sob!B:B,'Где автомобиль'!$R187))</f>
      </c>
      <c r="I187" s="41">
        <f>IF(ISERROR(R187),"",INDEX(Sob!C:C,'Где автомобиль'!$R187))</f>
      </c>
      <c r="J187" s="91">
        <f ca="1" t="shared" si="40"/>
      </c>
      <c r="K187" s="61">
        <f t="shared" si="41"/>
      </c>
      <c r="L187" s="61">
        <f t="shared" si="42"/>
      </c>
      <c r="M187" s="41">
        <f t="shared" si="43"/>
      </c>
      <c r="N187" s="79">
        <f t="shared" si="44"/>
      </c>
      <c r="O187" s="91">
        <f t="shared" si="45"/>
      </c>
      <c r="R187" t="e">
        <f ca="1" t="shared" si="46"/>
        <v>#N/A</v>
      </c>
    </row>
    <row r="188" spans="6:18" ht="21.75" customHeight="1">
      <c r="F188">
        <v>176</v>
      </c>
      <c r="G188" s="40">
        <f>IF(ISERROR(R188),"",INDEX(Sob!A:A,'Где автомобиль'!$R188))</f>
      </c>
      <c r="H188" s="41">
        <f>IF(ISERROR(R188),"",INDEX(Sob!B:B,'Где автомобиль'!$R188))</f>
      </c>
      <c r="I188" s="41">
        <f>IF(ISERROR(R188),"",INDEX(Sob!C:C,'Где автомобиль'!$R188))</f>
      </c>
      <c r="J188" s="91">
        <f ca="1" t="shared" si="40"/>
      </c>
      <c r="K188" s="61">
        <f t="shared" si="41"/>
      </c>
      <c r="L188" s="61">
        <f t="shared" si="42"/>
      </c>
      <c r="M188" s="41">
        <f t="shared" si="43"/>
      </c>
      <c r="N188" s="79">
        <f t="shared" si="44"/>
      </c>
      <c r="O188" s="91">
        <f t="shared" si="45"/>
      </c>
      <c r="R188" t="e">
        <f ca="1" t="shared" si="46"/>
        <v>#N/A</v>
      </c>
    </row>
    <row r="189" spans="6:18" ht="21.75" customHeight="1">
      <c r="F189">
        <v>177</v>
      </c>
      <c r="G189" s="40">
        <f>IF(ISERROR(R189),"",INDEX(Sob!A:A,'Где автомобиль'!$R189))</f>
      </c>
      <c r="H189" s="41">
        <f>IF(ISERROR(R189),"",INDEX(Sob!B:B,'Где автомобиль'!$R189))</f>
      </c>
      <c r="I189" s="41">
        <f>IF(ISERROR(R189),"",INDEX(Sob!C:C,'Где автомобиль'!$R189))</f>
      </c>
      <c r="J189" s="91">
        <f ca="1" t="shared" si="40"/>
      </c>
      <c r="K189" s="61">
        <f t="shared" si="41"/>
      </c>
      <c r="L189" s="61">
        <f t="shared" si="42"/>
      </c>
      <c r="M189" s="41">
        <f t="shared" si="43"/>
      </c>
      <c r="N189" s="79">
        <f t="shared" si="44"/>
      </c>
      <c r="O189" s="91">
        <f t="shared" si="45"/>
      </c>
      <c r="R189" t="e">
        <f ca="1" t="shared" si="46"/>
        <v>#N/A</v>
      </c>
    </row>
    <row r="190" spans="6:18" ht="21.75" customHeight="1">
      <c r="F190">
        <v>178</v>
      </c>
      <c r="G190" s="40">
        <f>IF(ISERROR(R190),"",INDEX(Sob!A:A,'Где автомобиль'!$R190))</f>
      </c>
      <c r="H190" s="41">
        <f>IF(ISERROR(R190),"",INDEX(Sob!B:B,'Где автомобиль'!$R190))</f>
      </c>
      <c r="I190" s="41">
        <f>IF(ISERROR(R190),"",INDEX(Sob!C:C,'Где автомобиль'!$R190))</f>
      </c>
      <c r="J190" s="91">
        <f ca="1" t="shared" si="40"/>
      </c>
      <c r="K190" s="61">
        <f t="shared" si="41"/>
      </c>
      <c r="L190" s="61">
        <f t="shared" si="42"/>
      </c>
      <c r="M190" s="41">
        <f t="shared" si="43"/>
      </c>
      <c r="N190" s="79">
        <f t="shared" si="44"/>
      </c>
      <c r="O190" s="91">
        <f t="shared" si="45"/>
      </c>
      <c r="R190" t="e">
        <f ca="1" t="shared" si="46"/>
        <v>#N/A</v>
      </c>
    </row>
    <row r="191" spans="6:18" ht="21.75" customHeight="1">
      <c r="F191">
        <v>179</v>
      </c>
      <c r="G191" s="40">
        <f>IF(ISERROR(R191),"",INDEX(Sob!A:A,'Где автомобиль'!$R191))</f>
      </c>
      <c r="H191" s="41">
        <f>IF(ISERROR(R191),"",INDEX(Sob!B:B,'Где автомобиль'!$R191))</f>
      </c>
      <c r="I191" s="41">
        <f>IF(ISERROR(R191),"",INDEX(Sob!C:C,'Где автомобиль'!$R191))</f>
      </c>
      <c r="J191" s="91">
        <f ca="1" t="shared" si="40"/>
      </c>
      <c r="K191" s="61">
        <f t="shared" si="41"/>
      </c>
      <c r="L191" s="61">
        <f t="shared" si="42"/>
      </c>
      <c r="M191" s="41">
        <f t="shared" si="43"/>
      </c>
      <c r="N191" s="79">
        <f t="shared" si="44"/>
      </c>
      <c r="O191" s="91">
        <f t="shared" si="45"/>
      </c>
      <c r="R191" t="e">
        <f ca="1" t="shared" si="46"/>
        <v>#N/A</v>
      </c>
    </row>
    <row r="192" spans="6:18" ht="21.75" customHeight="1">
      <c r="F192">
        <v>180</v>
      </c>
      <c r="G192" s="40">
        <f>IF(ISERROR(R192),"",INDEX(Sob!A:A,'Где автомобиль'!$R192))</f>
      </c>
      <c r="H192" s="41">
        <f>IF(ISERROR(R192),"",INDEX(Sob!B:B,'Где автомобиль'!$R192))</f>
      </c>
      <c r="I192" s="41">
        <f>IF(ISERROR(R192),"",INDEX(Sob!C:C,'Где автомобиль'!$R192))</f>
      </c>
      <c r="J192" s="91">
        <f ca="1" t="shared" si="40"/>
      </c>
      <c r="K192" s="61">
        <f t="shared" si="41"/>
      </c>
      <c r="L192" s="61">
        <f t="shared" si="42"/>
      </c>
      <c r="M192" s="41">
        <f t="shared" si="43"/>
      </c>
      <c r="N192" s="79">
        <f t="shared" si="44"/>
      </c>
      <c r="O192" s="91">
        <f t="shared" si="45"/>
      </c>
      <c r="R192" t="e">
        <f ca="1" t="shared" si="46"/>
        <v>#N/A</v>
      </c>
    </row>
    <row r="193" spans="6:18" ht="21.75" customHeight="1">
      <c r="F193">
        <v>181</v>
      </c>
      <c r="G193" s="40">
        <f>IF(ISERROR(R193),"",INDEX(Sob!A:A,'Где автомобиль'!$R193))</f>
      </c>
      <c r="H193" s="41">
        <f>IF(ISERROR(R193),"",INDEX(Sob!B:B,'Где автомобиль'!$R193))</f>
      </c>
      <c r="I193" s="41">
        <f>IF(ISERROR(R193),"",INDEX(Sob!C:C,'Где автомобиль'!$R193))</f>
      </c>
      <c r="J193" s="91">
        <f ca="1" t="shared" si="40"/>
      </c>
      <c r="K193" s="61">
        <f t="shared" si="41"/>
      </c>
      <c r="L193" s="61">
        <f t="shared" si="42"/>
      </c>
      <c r="M193" s="41">
        <f t="shared" si="43"/>
      </c>
      <c r="N193" s="79">
        <f t="shared" si="44"/>
      </c>
      <c r="O193" s="91">
        <f t="shared" si="45"/>
      </c>
      <c r="R193" t="e">
        <f ca="1" t="shared" si="46"/>
        <v>#N/A</v>
      </c>
    </row>
    <row r="194" spans="6:18" ht="21.75" customHeight="1">
      <c r="F194">
        <v>182</v>
      </c>
      <c r="G194" s="40">
        <f>IF(ISERROR(R194),"",INDEX(Sob!A:A,'Где автомобиль'!$R194))</f>
      </c>
      <c r="H194" s="41">
        <f>IF(ISERROR(R194),"",INDEX(Sob!B:B,'Где автомобиль'!$R194))</f>
      </c>
      <c r="I194" s="41">
        <f>IF(ISERROR(R194),"",INDEX(Sob!C:C,'Где автомобиль'!$R194))</f>
      </c>
      <c r="J194" s="91">
        <f ca="1" t="shared" si="40"/>
      </c>
      <c r="K194" s="61">
        <f t="shared" si="41"/>
      </c>
      <c r="L194" s="61">
        <f t="shared" si="42"/>
      </c>
      <c r="M194" s="41">
        <f t="shared" si="43"/>
      </c>
      <c r="N194" s="79">
        <f t="shared" si="44"/>
      </c>
      <c r="O194" s="91">
        <f t="shared" si="45"/>
      </c>
      <c r="R194" t="e">
        <f ca="1" t="shared" si="46"/>
        <v>#N/A</v>
      </c>
    </row>
    <row r="195" spans="6:18" ht="21.75" customHeight="1">
      <c r="F195">
        <v>183</v>
      </c>
      <c r="G195" s="40">
        <f>IF(ISERROR(R195),"",INDEX(Sob!A:A,'Где автомобиль'!$R195))</f>
      </c>
      <c r="H195" s="41">
        <f>IF(ISERROR(R195),"",INDEX(Sob!B:B,'Где автомобиль'!$R195))</f>
      </c>
      <c r="I195" s="41">
        <f>IF(ISERROR(R195),"",INDEX(Sob!C:C,'Где автомобиль'!$R195))</f>
      </c>
      <c r="J195" s="91">
        <f ca="1" t="shared" si="40"/>
      </c>
      <c r="K195" s="61">
        <f t="shared" si="41"/>
      </c>
      <c r="L195" s="61">
        <f t="shared" si="42"/>
      </c>
      <c r="M195" s="41">
        <f t="shared" si="43"/>
      </c>
      <c r="N195" s="79">
        <f t="shared" si="44"/>
      </c>
      <c r="O195" s="91">
        <f t="shared" si="45"/>
      </c>
      <c r="R195" t="e">
        <f ca="1" t="shared" si="46"/>
        <v>#N/A</v>
      </c>
    </row>
    <row r="196" spans="6:18" ht="21.75" customHeight="1">
      <c r="F196">
        <v>184</v>
      </c>
      <c r="G196" s="40">
        <f>IF(ISERROR(R196),"",INDEX(Sob!A:A,'Где автомобиль'!$R196))</f>
      </c>
      <c r="H196" s="41">
        <f>IF(ISERROR(R196),"",INDEX(Sob!B:B,'Где автомобиль'!$R196))</f>
      </c>
      <c r="I196" s="41">
        <f>IF(ISERROR(R196),"",INDEX(Sob!C:C,'Где автомобиль'!$R196))</f>
      </c>
      <c r="J196" s="91">
        <f ca="1" t="shared" si="40"/>
      </c>
      <c r="K196" s="61">
        <f t="shared" si="41"/>
      </c>
      <c r="L196" s="61">
        <f t="shared" si="42"/>
      </c>
      <c r="M196" s="41">
        <f t="shared" si="43"/>
      </c>
      <c r="N196" s="79">
        <f t="shared" si="44"/>
      </c>
      <c r="O196" s="91">
        <f t="shared" si="45"/>
      </c>
      <c r="R196" t="e">
        <f ca="1" t="shared" si="46"/>
        <v>#N/A</v>
      </c>
    </row>
    <row r="197" spans="6:18" ht="21.75" customHeight="1">
      <c r="F197">
        <v>185</v>
      </c>
      <c r="G197" s="40">
        <f>IF(ISERROR(R197),"",INDEX(Sob!A:A,'Где автомобиль'!$R197))</f>
      </c>
      <c r="H197" s="41">
        <f>IF(ISERROR(R197),"",INDEX(Sob!B:B,'Где автомобиль'!$R197))</f>
      </c>
      <c r="I197" s="41">
        <f>IF(ISERROR(R197),"",INDEX(Sob!C:C,'Где автомобиль'!$R197))</f>
      </c>
      <c r="J197" s="91">
        <f ca="1" t="shared" si="40"/>
      </c>
      <c r="K197" s="61">
        <f t="shared" si="41"/>
      </c>
      <c r="L197" s="61">
        <f t="shared" si="42"/>
      </c>
      <c r="M197" s="41">
        <f t="shared" si="43"/>
      </c>
      <c r="N197" s="79">
        <f t="shared" si="44"/>
      </c>
      <c r="O197" s="91">
        <f t="shared" si="45"/>
      </c>
      <c r="R197" t="e">
        <f ca="1" t="shared" si="46"/>
        <v>#N/A</v>
      </c>
    </row>
    <row r="198" spans="6:18" ht="21.75" customHeight="1">
      <c r="F198">
        <v>186</v>
      </c>
      <c r="G198" s="40">
        <f>IF(ISERROR(R198),"",INDEX(Sob!A:A,'Где автомобиль'!$R198))</f>
      </c>
      <c r="H198" s="41">
        <f>IF(ISERROR(R198),"",INDEX(Sob!B:B,'Где автомобиль'!$R198))</f>
      </c>
      <c r="I198" s="41">
        <f>IF(ISERROR(R198),"",INDEX(Sob!C:C,'Где автомобиль'!$R198))</f>
      </c>
      <c r="J198" s="91">
        <f ca="1" t="shared" si="40"/>
      </c>
      <c r="K198" s="61">
        <f t="shared" si="41"/>
      </c>
      <c r="L198" s="61">
        <f t="shared" si="42"/>
      </c>
      <c r="M198" s="41">
        <f t="shared" si="43"/>
      </c>
      <c r="N198" s="79">
        <f t="shared" si="44"/>
      </c>
      <c r="O198" s="91">
        <f t="shared" si="45"/>
      </c>
      <c r="R198" t="e">
        <f ca="1" t="shared" si="46"/>
        <v>#N/A</v>
      </c>
    </row>
    <row r="199" spans="6:18" ht="21.75" customHeight="1">
      <c r="F199">
        <v>187</v>
      </c>
      <c r="G199" s="40">
        <f>IF(ISERROR(R199),"",INDEX(Sob!A:A,'Где автомобиль'!$R199))</f>
      </c>
      <c r="H199" s="41">
        <f>IF(ISERROR(R199),"",INDEX(Sob!B:B,'Где автомобиль'!$R199))</f>
      </c>
      <c r="I199" s="41">
        <f>IF(ISERROR(R199),"",INDEX(Sob!C:C,'Где автомобиль'!$R199))</f>
      </c>
      <c r="J199" s="91">
        <f ca="1" t="shared" si="40"/>
      </c>
      <c r="K199" s="61">
        <f t="shared" si="41"/>
      </c>
      <c r="L199" s="61">
        <f t="shared" si="42"/>
      </c>
      <c r="M199" s="41">
        <f t="shared" si="43"/>
      </c>
      <c r="N199" s="79">
        <f t="shared" si="44"/>
      </c>
      <c r="O199" s="91">
        <f t="shared" si="45"/>
      </c>
      <c r="R199" t="e">
        <f ca="1" t="shared" si="46"/>
        <v>#N/A</v>
      </c>
    </row>
    <row r="200" spans="6:18" ht="21.75" customHeight="1">
      <c r="F200">
        <v>188</v>
      </c>
      <c r="G200" s="40">
        <f>IF(ISERROR(R200),"",INDEX(Sob!A:A,'Где автомобиль'!$R200))</f>
      </c>
      <c r="H200" s="41">
        <f>IF(ISERROR(R200),"",INDEX(Sob!B:B,'Где автомобиль'!$R200))</f>
      </c>
      <c r="I200" s="41">
        <f>IF(ISERROR(R200),"",INDEX(Sob!C:C,'Где автомобиль'!$R200))</f>
      </c>
      <c r="J200" s="91">
        <f ca="1" t="shared" si="40"/>
      </c>
      <c r="K200" s="61">
        <f t="shared" si="41"/>
      </c>
      <c r="L200" s="61">
        <f t="shared" si="42"/>
      </c>
      <c r="M200" s="41">
        <f t="shared" si="43"/>
      </c>
      <c r="N200" s="79">
        <f t="shared" si="44"/>
      </c>
      <c r="O200" s="91">
        <f t="shared" si="45"/>
      </c>
      <c r="R200" t="e">
        <f ca="1" t="shared" si="46"/>
        <v>#N/A</v>
      </c>
    </row>
    <row r="201" spans="6:18" ht="21.75" customHeight="1">
      <c r="F201">
        <v>189</v>
      </c>
      <c r="G201" s="40">
        <f>IF(ISERROR(R201),"",INDEX(Sob!A:A,'Где автомобиль'!$R201))</f>
      </c>
      <c r="H201" s="41">
        <f>IF(ISERROR(R201),"",INDEX(Sob!B:B,'Где автомобиль'!$R201))</f>
      </c>
      <c r="I201" s="41">
        <f>IF(ISERROR(R201),"",INDEX(Sob!C:C,'Где автомобиль'!$R201))</f>
      </c>
      <c r="J201" s="91">
        <f ca="1" t="shared" si="40"/>
      </c>
      <c r="K201" s="61">
        <f t="shared" si="41"/>
      </c>
      <c r="L201" s="61">
        <f t="shared" si="42"/>
      </c>
      <c r="M201" s="41">
        <f t="shared" si="43"/>
      </c>
      <c r="N201" s="79">
        <f t="shared" si="44"/>
      </c>
      <c r="O201" s="91">
        <f t="shared" si="45"/>
      </c>
      <c r="R201" t="e">
        <f ca="1" t="shared" si="46"/>
        <v>#N/A</v>
      </c>
    </row>
    <row r="202" spans="6:18" ht="21.75" customHeight="1">
      <c r="F202">
        <v>190</v>
      </c>
      <c r="G202" s="40">
        <f>IF(ISERROR(R202),"",INDEX(Sob!A:A,'Где автомобиль'!$R202))</f>
      </c>
      <c r="H202" s="41">
        <f>IF(ISERROR(R202),"",INDEX(Sob!B:B,'Где автомобиль'!$R202))</f>
      </c>
      <c r="I202" s="41">
        <f>IF(ISERROR(R202),"",INDEX(Sob!C:C,'Где автомобиль'!$R202))</f>
      </c>
      <c r="J202" s="91">
        <f ca="1" t="shared" si="40"/>
      </c>
      <c r="K202" s="61">
        <f t="shared" si="41"/>
      </c>
      <c r="L202" s="61">
        <f t="shared" si="42"/>
      </c>
      <c r="M202" s="41">
        <f t="shared" si="43"/>
      </c>
      <c r="N202" s="79">
        <f t="shared" si="44"/>
      </c>
      <c r="O202" s="91">
        <f t="shared" si="45"/>
      </c>
      <c r="R202" t="e">
        <f ca="1" t="shared" si="46"/>
        <v>#N/A</v>
      </c>
    </row>
    <row r="203" spans="6:18" ht="21.75" customHeight="1">
      <c r="F203">
        <v>191</v>
      </c>
      <c r="G203" s="40">
        <f>IF(ISERROR(R203),"",INDEX(Sob!A:A,'Где автомобиль'!$R203))</f>
      </c>
      <c r="H203" s="41">
        <f>IF(ISERROR(R203),"",INDEX(Sob!B:B,'Где автомобиль'!$R203))</f>
      </c>
      <c r="I203" s="41">
        <f>IF(ISERROR(R203),"",INDEX(Sob!C:C,'Где автомобиль'!$R203))</f>
      </c>
      <c r="J203" s="91">
        <f ca="1" t="shared" si="40"/>
      </c>
      <c r="K203" s="61">
        <f t="shared" si="41"/>
      </c>
      <c r="L203" s="61">
        <f t="shared" si="42"/>
      </c>
      <c r="M203" s="41">
        <f t="shared" si="43"/>
      </c>
      <c r="N203" s="79">
        <f t="shared" si="44"/>
      </c>
      <c r="O203" s="91">
        <f t="shared" si="45"/>
      </c>
      <c r="R203" t="e">
        <f ca="1" t="shared" si="46"/>
        <v>#N/A</v>
      </c>
    </row>
    <row r="204" spans="6:18" ht="21.75" customHeight="1">
      <c r="F204">
        <v>192</v>
      </c>
      <c r="G204" s="40">
        <f>IF(ISERROR(R204),"",INDEX(Sob!A:A,'Где автомобиль'!$R204))</f>
      </c>
      <c r="H204" s="41">
        <f>IF(ISERROR(R204),"",INDEX(Sob!B:B,'Где автомобиль'!$R204))</f>
      </c>
      <c r="I204" s="41">
        <f>IF(ISERROR(R204),"",INDEX(Sob!C:C,'Где автомобиль'!$R204))</f>
      </c>
      <c r="J204" s="91">
        <f ca="1" t="shared" si="40"/>
      </c>
      <c r="K204" s="61">
        <f t="shared" si="41"/>
      </c>
      <c r="L204" s="61">
        <f t="shared" si="42"/>
      </c>
      <c r="M204" s="41">
        <f t="shared" si="43"/>
      </c>
      <c r="N204" s="79">
        <f t="shared" si="44"/>
      </c>
      <c r="O204" s="91">
        <f t="shared" si="45"/>
      </c>
      <c r="R204" t="e">
        <f ca="1" t="shared" si="46"/>
        <v>#N/A</v>
      </c>
    </row>
    <row r="205" spans="6:18" ht="21.75" customHeight="1">
      <c r="F205">
        <v>193</v>
      </c>
      <c r="G205" s="40">
        <f>IF(ISERROR(R205),"",INDEX(Sob!A:A,'Где автомобиль'!$R205))</f>
      </c>
      <c r="H205" s="41">
        <f>IF(ISERROR(R205),"",INDEX(Sob!B:B,'Где автомобиль'!$R205))</f>
      </c>
      <c r="I205" s="41">
        <f>IF(ISERROR(R205),"",INDEX(Sob!C:C,'Где автомобиль'!$R205))</f>
      </c>
      <c r="J205" s="91">
        <f aca="true" ca="1" t="shared" si="47" ref="J205:J212">IF(ISERROR(R205),"",DMAX(Sob,1,INDIRECT("R1C"&amp;F205+19&amp;":R2C"&amp;F205+19,0)))</f>
      </c>
      <c r="K205" s="61">
        <f aca="true" t="shared" si="48" ref="K205:K212">IF(ISERROR(R205),"",VLOOKUP(I205,Auto,2,0))</f>
      </c>
      <c r="L205" s="61">
        <f aca="true" t="shared" si="49" ref="L205:L212">IF(ISERROR(R205),"",VLOOKUP(I205,Auto,3,0))</f>
      </c>
      <c r="M205" s="41">
        <f aca="true" t="shared" si="50" ref="M205:M212">IF(ISERROR(R205),"",VLOOKUP(J205,Sob,4,0))</f>
      </c>
      <c r="N205" s="79">
        <f aca="true" t="shared" si="51" ref="N205:N212">IF(ISERROR(R205),"",VLOOKUP(J205,Sob,6,0))</f>
      </c>
      <c r="O205" s="91">
        <f aca="true" t="shared" si="52" ref="O205:O212">IF(ISERROR(R205),"",VLOOKUP(J205,Sob,8,0))</f>
      </c>
      <c r="R205" t="e">
        <f ca="1" t="shared" si="46"/>
        <v>#N/A</v>
      </c>
    </row>
    <row r="206" spans="6:18" ht="21.75" customHeight="1">
      <c r="F206">
        <v>194</v>
      </c>
      <c r="G206" s="40">
        <f>IF(ISERROR(R206),"",INDEX(Sob!A:A,'Где автомобиль'!$R206))</f>
      </c>
      <c r="H206" s="41">
        <f>IF(ISERROR(R206),"",INDEX(Sob!B:B,'Где автомобиль'!$R206))</f>
      </c>
      <c r="I206" s="41">
        <f>IF(ISERROR(R206),"",INDEX(Sob!C:C,'Где автомобиль'!$R206))</f>
      </c>
      <c r="J206" s="91">
        <f ca="1" t="shared" si="47"/>
      </c>
      <c r="K206" s="61">
        <f t="shared" si="48"/>
      </c>
      <c r="L206" s="61">
        <f t="shared" si="49"/>
      </c>
      <c r="M206" s="41">
        <f t="shared" si="50"/>
      </c>
      <c r="N206" s="79">
        <f t="shared" si="51"/>
      </c>
      <c r="O206" s="91">
        <f t="shared" si="52"/>
      </c>
      <c r="R206" t="e">
        <f aca="true" ca="1" t="shared" si="53" ref="R206:R212">MATCH($P$2,INDIRECT("sob!d"&amp;R205+1&amp;":d1000"),0)+R205</f>
        <v>#N/A</v>
      </c>
    </row>
    <row r="207" spans="6:18" ht="21.75" customHeight="1">
      <c r="F207">
        <v>195</v>
      </c>
      <c r="G207" s="40">
        <f>IF(ISERROR(R207),"",INDEX(Sob!A:A,'Где автомобиль'!$R207))</f>
      </c>
      <c r="H207" s="41">
        <f>IF(ISERROR(R207),"",INDEX(Sob!B:B,'Где автомобиль'!$R207))</f>
      </c>
      <c r="I207" s="41">
        <f>IF(ISERROR(R207),"",INDEX(Sob!C:C,'Где автомобиль'!$R207))</f>
      </c>
      <c r="J207" s="91">
        <f ca="1" t="shared" si="47"/>
      </c>
      <c r="K207" s="61">
        <f t="shared" si="48"/>
      </c>
      <c r="L207" s="61">
        <f t="shared" si="49"/>
      </c>
      <c r="M207" s="41">
        <f t="shared" si="50"/>
      </c>
      <c r="N207" s="79">
        <f t="shared" si="51"/>
      </c>
      <c r="O207" s="91">
        <f t="shared" si="52"/>
      </c>
      <c r="R207" t="e">
        <f ca="1" t="shared" si="53"/>
        <v>#N/A</v>
      </c>
    </row>
    <row r="208" spans="6:18" ht="21.75" customHeight="1">
      <c r="F208">
        <v>196</v>
      </c>
      <c r="G208" s="40">
        <f>IF(ISERROR(R208),"",INDEX(Sob!A:A,'Где автомобиль'!$R208))</f>
      </c>
      <c r="H208" s="41">
        <f>IF(ISERROR(R208),"",INDEX(Sob!B:B,'Где автомобиль'!$R208))</f>
      </c>
      <c r="I208" s="41">
        <f>IF(ISERROR(R208),"",INDEX(Sob!C:C,'Где автомобиль'!$R208))</f>
      </c>
      <c r="J208" s="91">
        <f ca="1" t="shared" si="47"/>
      </c>
      <c r="K208" s="61">
        <f t="shared" si="48"/>
      </c>
      <c r="L208" s="61">
        <f t="shared" si="49"/>
      </c>
      <c r="M208" s="41">
        <f t="shared" si="50"/>
      </c>
      <c r="N208" s="79">
        <f t="shared" si="51"/>
      </c>
      <c r="O208" s="91">
        <f t="shared" si="52"/>
      </c>
      <c r="R208" t="e">
        <f ca="1" t="shared" si="53"/>
        <v>#N/A</v>
      </c>
    </row>
    <row r="209" spans="6:18" ht="21.75" customHeight="1">
      <c r="F209">
        <v>197</v>
      </c>
      <c r="G209" s="40">
        <f>IF(ISERROR(R209),"",INDEX(Sob!A:A,'Где автомобиль'!$R209))</f>
      </c>
      <c r="H209" s="41">
        <f>IF(ISERROR(R209),"",INDEX(Sob!B:B,'Где автомобиль'!$R209))</f>
      </c>
      <c r="I209" s="41">
        <f>IF(ISERROR(R209),"",INDEX(Sob!C:C,'Где автомобиль'!$R209))</f>
      </c>
      <c r="J209" s="91">
        <f ca="1" t="shared" si="47"/>
      </c>
      <c r="K209" s="61">
        <f t="shared" si="48"/>
      </c>
      <c r="L209" s="61">
        <f t="shared" si="49"/>
      </c>
      <c r="M209" s="41">
        <f t="shared" si="50"/>
      </c>
      <c r="N209" s="79">
        <f t="shared" si="51"/>
      </c>
      <c r="O209" s="91">
        <f t="shared" si="52"/>
      </c>
      <c r="R209" t="e">
        <f ca="1" t="shared" si="53"/>
        <v>#N/A</v>
      </c>
    </row>
    <row r="210" spans="6:18" ht="21.75" customHeight="1">
      <c r="F210">
        <v>198</v>
      </c>
      <c r="G210" s="40">
        <f>IF(ISERROR(R210),"",INDEX(Sob!A:A,'Где автомобиль'!$R210))</f>
      </c>
      <c r="H210" s="41">
        <f>IF(ISERROR(R210),"",INDEX(Sob!B:B,'Где автомобиль'!$R210))</f>
      </c>
      <c r="I210" s="41">
        <f>IF(ISERROR(R210),"",INDEX(Sob!C:C,'Где автомобиль'!$R210))</f>
      </c>
      <c r="J210" s="91">
        <f ca="1" t="shared" si="47"/>
      </c>
      <c r="K210" s="61">
        <f t="shared" si="48"/>
      </c>
      <c r="L210" s="61">
        <f t="shared" si="49"/>
      </c>
      <c r="M210" s="41">
        <f t="shared" si="50"/>
      </c>
      <c r="N210" s="79">
        <f t="shared" si="51"/>
      </c>
      <c r="O210" s="91">
        <f t="shared" si="52"/>
      </c>
      <c r="R210" t="e">
        <f ca="1" t="shared" si="53"/>
        <v>#N/A</v>
      </c>
    </row>
    <row r="211" spans="6:18" ht="21.75" customHeight="1">
      <c r="F211">
        <v>199</v>
      </c>
      <c r="G211" s="40">
        <f>IF(ISERROR(R211),"",INDEX(Sob!A:A,'Где автомобиль'!$R211))</f>
      </c>
      <c r="H211" s="41">
        <f>IF(ISERROR(R211),"",INDEX(Sob!B:B,'Где автомобиль'!$R211))</f>
      </c>
      <c r="I211" s="41">
        <f>IF(ISERROR(R211),"",INDEX(Sob!C:C,'Где автомобиль'!$R211))</f>
      </c>
      <c r="J211" s="91">
        <f ca="1" t="shared" si="47"/>
      </c>
      <c r="K211" s="61">
        <f t="shared" si="48"/>
      </c>
      <c r="L211" s="61">
        <f t="shared" si="49"/>
      </c>
      <c r="M211" s="41">
        <f t="shared" si="50"/>
      </c>
      <c r="N211" s="79">
        <f t="shared" si="51"/>
      </c>
      <c r="O211" s="91">
        <f t="shared" si="52"/>
      </c>
      <c r="R211" t="e">
        <f ca="1" t="shared" si="53"/>
        <v>#N/A</v>
      </c>
    </row>
    <row r="212" spans="6:18" ht="21.75" customHeight="1">
      <c r="F212">
        <v>200</v>
      </c>
      <c r="G212" s="40">
        <f>IF(ISERROR(R212),"",INDEX(Sob!A:A,'Где автомобиль'!$R212))</f>
      </c>
      <c r="H212" s="41">
        <f>IF(ISERROR(R212),"",INDEX(Sob!B:B,'Где автомобиль'!$R212))</f>
      </c>
      <c r="I212" s="41">
        <f>IF(ISERROR(R212),"",INDEX(Sob!C:C,'Где автомобиль'!$R212))</f>
      </c>
      <c r="J212" s="91">
        <f ca="1" t="shared" si="47"/>
      </c>
      <c r="K212" s="61">
        <f t="shared" si="48"/>
      </c>
      <c r="L212" s="61">
        <f t="shared" si="49"/>
      </c>
      <c r="M212" s="41">
        <f t="shared" si="50"/>
      </c>
      <c r="N212" s="79">
        <f t="shared" si="51"/>
      </c>
      <c r="O212" s="91">
        <f t="shared" si="52"/>
      </c>
      <c r="R212" t="e">
        <f ca="1" t="shared" si="53"/>
        <v>#N/A</v>
      </c>
    </row>
  </sheetData>
  <sheetProtection password="CE28" sheet="1"/>
  <mergeCells count="10">
    <mergeCell ref="E9:E13"/>
    <mergeCell ref="A33:B37"/>
    <mergeCell ref="A39:B43"/>
    <mergeCell ref="A45:B49"/>
    <mergeCell ref="G11:K11"/>
    <mergeCell ref="G1:I1"/>
    <mergeCell ref="J1:L1"/>
    <mergeCell ref="C20:D31"/>
    <mergeCell ref="A21:B25"/>
    <mergeCell ref="A27:B31"/>
  </mergeCells>
  <dataValidations count="1">
    <dataValidation type="list" allowBlank="1" showInputMessage="1" showErrorMessage="1" sqref="A2">
      <formula1>Госномер</formula1>
    </dataValidation>
  </dataValidations>
  <hyperlinks>
    <hyperlink ref="H3" location="'Заказ запчастей'!A1" display="Заказ запчастей"/>
    <hyperlink ref="H4" location="'Заказ-наряд'!A1" display="Заказ-наряд"/>
    <hyperlink ref="H5" location="'Акт приемки-сдачи'!A1" display="Акт приемки-сдачи"/>
    <hyperlink ref="K2" location="'Ввод данных'!A1" display="Прием автомобиля"/>
    <hyperlink ref="K3" location="'Заказ запчастей'!A1" display="Заказ запчастей"/>
    <hyperlink ref="K4" location="'Заказ-наряд'!A1" display="Передача в ремонт"/>
    <hyperlink ref="K5" location="'Где автомобиль'!A1" display="Выдача клиенту"/>
    <hyperlink ref="K7" location="'Где автомобиль'!A1" display="Информация об автомобиле"/>
    <hyperlink ref="H2" location="'Карта ремонта'!A1" display="Карта ремонта"/>
    <hyperlink ref="K8" location="Сегодня!A1" display="Сегодня поступили"/>
    <hyperlink ref="K9" location="'Что было'!A1" display="Что было с автомобилем"/>
  </hyperlink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Q41"/>
  <sheetViews>
    <sheetView showZeros="0" zoomScalePageLayoutView="0" workbookViewId="0" topLeftCell="A28">
      <selection activeCell="D44" sqref="D44"/>
    </sheetView>
  </sheetViews>
  <sheetFormatPr defaultColWidth="9.140625" defaultRowHeight="21.75" customHeight="1"/>
  <cols>
    <col min="1" max="1" width="8.140625" style="0" bestFit="1" customWidth="1"/>
    <col min="2" max="2" width="12.140625" style="0" customWidth="1"/>
    <col min="3" max="3" width="11.00390625" style="0" bestFit="1" customWidth="1"/>
    <col min="4" max="4" width="12.57421875" style="0" bestFit="1" customWidth="1"/>
    <col min="5" max="5" width="12.00390625" style="0" bestFit="1" customWidth="1"/>
    <col min="6" max="6" width="16.7109375" style="0" bestFit="1" customWidth="1"/>
    <col min="7" max="7" width="16.7109375" style="0" customWidth="1"/>
    <col min="8" max="8" width="16.28125" style="0" bestFit="1" customWidth="1"/>
    <col min="10" max="10" width="3.57421875" style="0" bestFit="1" customWidth="1"/>
    <col min="16" max="16" width="13.28125" style="89" hidden="1" customWidth="1"/>
    <col min="17" max="17" width="9.140625" style="89" hidden="1" customWidth="1"/>
  </cols>
  <sheetData>
    <row r="1" spans="1:17" ht="21.75" customHeight="1" thickBot="1">
      <c r="A1" s="114" t="s">
        <v>753</v>
      </c>
      <c r="B1" s="114"/>
      <c r="C1" s="114"/>
      <c r="D1" s="114"/>
      <c r="E1" s="47">
        <f>DCOUNTA(Sob,1,P1:Q2)+H1</f>
        <v>3</v>
      </c>
      <c r="F1" s="47" t="s">
        <v>157</v>
      </c>
      <c r="G1" s="47" t="s">
        <v>780</v>
      </c>
      <c r="H1" s="47">
        <f>DCOUNTA(hiremont,3,P4:Q5)</f>
        <v>1</v>
      </c>
      <c r="P1" s="89" t="s">
        <v>7</v>
      </c>
      <c r="Q1" s="89" t="s">
        <v>8</v>
      </c>
    </row>
    <row r="2" spans="4:17" ht="21.75" customHeight="1" thickBot="1" thickTop="1">
      <c r="D2" s="60">
        <f ca="1">TODAY()</f>
        <v>39998</v>
      </c>
      <c r="J2" s="114" t="s">
        <v>166</v>
      </c>
      <c r="K2" s="114"/>
      <c r="L2" s="114"/>
      <c r="P2" s="89" t="str">
        <f>"&gt;"&amp;D2</f>
        <v>&gt;39998</v>
      </c>
      <c r="Q2" s="89" t="s">
        <v>10</v>
      </c>
    </row>
    <row r="3" spans="10:11" ht="21.75" customHeight="1" thickTop="1">
      <c r="J3" s="51" t="s">
        <v>31</v>
      </c>
      <c r="K3" s="69" t="s">
        <v>60</v>
      </c>
    </row>
    <row r="4" spans="10:17" ht="21.75" customHeight="1">
      <c r="J4" s="51" t="s">
        <v>32</v>
      </c>
      <c r="K4" s="69" t="s">
        <v>164</v>
      </c>
      <c r="P4" s="89" t="s">
        <v>20</v>
      </c>
      <c r="Q4" s="89" t="s">
        <v>21</v>
      </c>
    </row>
    <row r="5" spans="1:17" ht="21.75" customHeight="1">
      <c r="A5" s="62" t="s">
        <v>750</v>
      </c>
      <c r="B5" s="45" t="s">
        <v>19</v>
      </c>
      <c r="C5" s="13" t="s">
        <v>0</v>
      </c>
      <c r="D5" s="13" t="s">
        <v>1</v>
      </c>
      <c r="E5" s="13" t="s">
        <v>2</v>
      </c>
      <c r="F5" s="13" t="s">
        <v>5</v>
      </c>
      <c r="G5" s="13" t="s">
        <v>6</v>
      </c>
      <c r="H5" s="85" t="s">
        <v>52</v>
      </c>
      <c r="J5" s="51" t="s">
        <v>33</v>
      </c>
      <c r="K5" s="69" t="s">
        <v>76</v>
      </c>
      <c r="P5" s="89" t="str">
        <f>"&gt;"&amp;D2</f>
        <v>&gt;39998</v>
      </c>
      <c r="Q5" s="89" t="str">
        <f>"&gt;"&amp;D2</f>
        <v>&gt;39998</v>
      </c>
    </row>
    <row r="6" spans="1:11" ht="21.75" customHeight="1">
      <c r="A6" s="94">
        <v>39998.534941550926</v>
      </c>
      <c r="B6" s="105" t="s">
        <v>792</v>
      </c>
      <c r="C6" s="105" t="s">
        <v>791</v>
      </c>
      <c r="D6" s="105" t="s">
        <v>789</v>
      </c>
      <c r="E6" s="105" t="s">
        <v>598</v>
      </c>
      <c r="F6" s="92"/>
      <c r="G6" s="84"/>
      <c r="H6" s="92"/>
      <c r="J6" s="51" t="s">
        <v>34</v>
      </c>
      <c r="K6" s="69" t="s">
        <v>165</v>
      </c>
    </row>
    <row r="7" spans="1:8" ht="21.75" customHeight="1">
      <c r="A7" s="94">
        <v>39998.53607037037</v>
      </c>
      <c r="B7" s="105" t="s">
        <v>797</v>
      </c>
      <c r="C7" s="105" t="s">
        <v>796</v>
      </c>
      <c r="D7" s="105" t="s">
        <v>236</v>
      </c>
      <c r="E7" s="105" t="s">
        <v>241</v>
      </c>
      <c r="F7" s="92"/>
      <c r="G7" s="84"/>
      <c r="H7" s="92"/>
    </row>
    <row r="8" spans="1:8" ht="21.75" customHeight="1">
      <c r="A8" s="94"/>
      <c r="B8" s="92"/>
      <c r="C8" s="92"/>
      <c r="D8" s="92"/>
      <c r="E8" s="92"/>
      <c r="F8" s="92"/>
      <c r="G8" s="84"/>
      <c r="H8" s="92"/>
    </row>
    <row r="9" spans="1:12" ht="21.75" customHeight="1" thickBot="1">
      <c r="A9" s="94"/>
      <c r="B9" s="92"/>
      <c r="C9" s="92"/>
      <c r="D9" s="92"/>
      <c r="E9" s="92"/>
      <c r="F9" s="92"/>
      <c r="G9" s="84"/>
      <c r="H9" s="92"/>
      <c r="J9" s="114" t="s">
        <v>171</v>
      </c>
      <c r="K9" s="114"/>
      <c r="L9" s="114"/>
    </row>
    <row r="10" spans="1:11" ht="21.75" customHeight="1" thickTop="1">
      <c r="A10" s="94"/>
      <c r="B10" s="92"/>
      <c r="C10" s="92"/>
      <c r="D10" s="92"/>
      <c r="E10" s="92"/>
      <c r="F10" s="92"/>
      <c r="G10" s="84"/>
      <c r="H10" s="92"/>
      <c r="J10" s="51" t="s">
        <v>31</v>
      </c>
      <c r="K10" s="69" t="s">
        <v>130</v>
      </c>
    </row>
    <row r="11" spans="1:11" ht="21.75" customHeight="1">
      <c r="A11" s="94"/>
      <c r="B11" s="92"/>
      <c r="C11" s="92"/>
      <c r="D11" s="92"/>
      <c r="E11" s="92"/>
      <c r="F11" s="92"/>
      <c r="G11" s="84"/>
      <c r="H11" s="92"/>
      <c r="J11" s="51" t="s">
        <v>32</v>
      </c>
      <c r="K11" s="69" t="s">
        <v>164</v>
      </c>
    </row>
    <row r="12" spans="1:11" ht="21.75" customHeight="1">
      <c r="A12" s="94"/>
      <c r="B12" s="84"/>
      <c r="C12" s="84"/>
      <c r="D12" s="84"/>
      <c r="E12" s="84"/>
      <c r="F12" s="84"/>
      <c r="G12" s="84"/>
      <c r="H12" s="84"/>
      <c r="J12" s="51" t="s">
        <v>33</v>
      </c>
      <c r="K12" s="69" t="s">
        <v>167</v>
      </c>
    </row>
    <row r="13" spans="1:11" ht="21.75" customHeight="1">
      <c r="A13" s="94"/>
      <c r="B13" s="84"/>
      <c r="C13" s="84"/>
      <c r="D13" s="84"/>
      <c r="E13" s="84"/>
      <c r="F13" s="84"/>
      <c r="G13" s="84"/>
      <c r="H13" s="84"/>
      <c r="J13" s="51" t="s">
        <v>34</v>
      </c>
      <c r="K13" s="69" t="s">
        <v>169</v>
      </c>
    </row>
    <row r="14" spans="1:8" ht="21.75" customHeight="1">
      <c r="A14" s="94"/>
      <c r="B14" s="84"/>
      <c r="C14" s="84"/>
      <c r="D14" s="84"/>
      <c r="E14" s="84"/>
      <c r="F14" s="84"/>
      <c r="G14" s="84"/>
      <c r="H14" s="84"/>
    </row>
    <row r="15" spans="1:11" ht="21.75" customHeight="1">
      <c r="A15" s="94"/>
      <c r="B15" s="84"/>
      <c r="C15" s="84"/>
      <c r="D15" s="84"/>
      <c r="E15" s="84"/>
      <c r="F15" s="84"/>
      <c r="G15" s="84"/>
      <c r="H15" s="84"/>
      <c r="J15" s="51" t="s">
        <v>35</v>
      </c>
      <c r="K15" s="69" t="s">
        <v>170</v>
      </c>
    </row>
    <row r="16" spans="1:11" ht="21.75" customHeight="1">
      <c r="A16" s="94"/>
      <c r="B16" s="84"/>
      <c r="C16" s="84"/>
      <c r="D16" s="84"/>
      <c r="E16" s="84"/>
      <c r="F16" s="84"/>
      <c r="G16" s="84"/>
      <c r="H16" s="84"/>
      <c r="J16" s="51" t="s">
        <v>36</v>
      </c>
      <c r="K16" s="69" t="s">
        <v>748</v>
      </c>
    </row>
    <row r="17" spans="1:11" ht="21.75" customHeight="1">
      <c r="A17" s="94"/>
      <c r="B17" s="84"/>
      <c r="C17" s="84"/>
      <c r="D17" s="84"/>
      <c r="E17" s="84"/>
      <c r="F17" s="84"/>
      <c r="G17" s="84"/>
      <c r="H17" s="84"/>
      <c r="J17" s="51"/>
      <c r="K17" s="71"/>
    </row>
    <row r="18" spans="1:8" ht="21.75" customHeight="1">
      <c r="A18" s="94"/>
      <c r="B18" s="84"/>
      <c r="C18" s="84"/>
      <c r="D18" s="84"/>
      <c r="E18" s="84"/>
      <c r="F18" s="84"/>
      <c r="G18" s="84"/>
      <c r="H18" s="84"/>
    </row>
    <row r="19" spans="1:8" ht="21.75" customHeight="1">
      <c r="A19" s="94"/>
      <c r="B19" s="84"/>
      <c r="C19" s="84"/>
      <c r="D19" s="84"/>
      <c r="E19" s="84"/>
      <c r="F19" s="84"/>
      <c r="G19" s="84"/>
      <c r="H19" s="84"/>
    </row>
    <row r="20" spans="1:8" ht="21.75" customHeight="1">
      <c r="A20" s="94"/>
      <c r="B20" s="84"/>
      <c r="C20" s="84"/>
      <c r="D20" s="84"/>
      <c r="E20" s="84"/>
      <c r="F20" s="84"/>
      <c r="G20" s="84"/>
      <c r="H20" s="84"/>
    </row>
    <row r="21" spans="1:8" ht="21.75" customHeight="1">
      <c r="A21" s="94"/>
      <c r="B21" s="84"/>
      <c r="C21" s="84"/>
      <c r="D21" s="84"/>
      <c r="E21" s="84"/>
      <c r="F21" s="84"/>
      <c r="G21" s="84"/>
      <c r="H21" s="84"/>
    </row>
    <row r="22" spans="1:8" ht="21.75" customHeight="1">
      <c r="A22" s="94"/>
      <c r="B22" s="84"/>
      <c r="C22" s="84"/>
      <c r="D22" s="84"/>
      <c r="E22" s="84"/>
      <c r="F22" s="84"/>
      <c r="G22" s="84"/>
      <c r="H22" s="84"/>
    </row>
    <row r="23" spans="1:8" ht="21.75" customHeight="1">
      <c r="A23" s="94"/>
      <c r="B23" s="84"/>
      <c r="C23" s="84"/>
      <c r="D23" s="84"/>
      <c r="E23" s="84"/>
      <c r="F23" s="84"/>
      <c r="G23" s="84"/>
      <c r="H23" s="84"/>
    </row>
    <row r="24" spans="1:8" ht="21.75" customHeight="1">
      <c r="A24" s="94"/>
      <c r="B24" s="84"/>
      <c r="C24" s="84"/>
      <c r="D24" s="84"/>
      <c r="E24" s="84"/>
      <c r="F24" s="84"/>
      <c r="G24" s="84"/>
      <c r="H24" s="84"/>
    </row>
    <row r="25" spans="1:8" ht="21.75" customHeight="1">
      <c r="A25" s="94"/>
      <c r="B25" s="84"/>
      <c r="C25" s="84"/>
      <c r="D25" s="84"/>
      <c r="E25" s="84"/>
      <c r="F25" s="84"/>
      <c r="G25" s="84"/>
      <c r="H25" s="84"/>
    </row>
    <row r="26" spans="1:8" ht="21.75" customHeight="1">
      <c r="A26" s="94"/>
      <c r="B26" s="84"/>
      <c r="C26" s="84"/>
      <c r="D26" s="84"/>
      <c r="E26" s="84"/>
      <c r="F26" s="84"/>
      <c r="G26" s="84"/>
      <c r="H26" s="84"/>
    </row>
    <row r="27" spans="1:8" ht="21.75" customHeight="1">
      <c r="A27" s="94"/>
      <c r="B27" s="84"/>
      <c r="C27" s="84"/>
      <c r="D27" s="84"/>
      <c r="E27" s="84"/>
      <c r="F27" s="84"/>
      <c r="G27" s="84"/>
      <c r="H27" s="84"/>
    </row>
    <row r="28" spans="1:8" ht="21.75" customHeight="1">
      <c r="A28" s="94"/>
      <c r="B28" s="84"/>
      <c r="C28" s="84"/>
      <c r="D28" s="84"/>
      <c r="E28" s="84"/>
      <c r="F28" s="84"/>
      <c r="G28" s="84"/>
      <c r="H28" s="84"/>
    </row>
    <row r="29" ht="21.75" customHeight="1">
      <c r="A29" s="63"/>
    </row>
    <row r="30" spans="1:8" ht="21.75" customHeight="1" thickBot="1">
      <c r="A30" s="95" t="s">
        <v>779</v>
      </c>
      <c r="B30" s="46"/>
      <c r="C30" s="46"/>
      <c r="D30" s="46"/>
      <c r="E30" s="46"/>
      <c r="F30" s="46"/>
      <c r="G30" s="46"/>
      <c r="H30" s="46"/>
    </row>
    <row r="31" spans="1:8" ht="30.75" thickTop="1">
      <c r="A31" s="83" t="s">
        <v>781</v>
      </c>
      <c r="B31" s="13" t="s">
        <v>19</v>
      </c>
      <c r="C31" s="13" t="s">
        <v>0</v>
      </c>
      <c r="D31" s="13" t="s">
        <v>1</v>
      </c>
      <c r="E31" s="13" t="s">
        <v>2</v>
      </c>
      <c r="F31" s="13" t="s">
        <v>5</v>
      </c>
      <c r="G31" s="13" t="s">
        <v>6</v>
      </c>
      <c r="H31" s="85" t="s">
        <v>52</v>
      </c>
    </row>
    <row r="32" spans="1:8" ht="21.75" customHeight="1">
      <c r="A32" s="94">
        <v>39998.538250115744</v>
      </c>
      <c r="B32" s="105" t="s">
        <v>801</v>
      </c>
      <c r="C32" s="105" t="s">
        <v>800</v>
      </c>
      <c r="D32" s="105" t="s">
        <v>730</v>
      </c>
      <c r="E32" s="105" t="s">
        <v>736</v>
      </c>
      <c r="F32" s="89"/>
      <c r="G32" s="89"/>
      <c r="H32" s="89"/>
    </row>
    <row r="33" spans="1:8" ht="21.75" customHeight="1">
      <c r="A33" s="94"/>
      <c r="B33" s="89"/>
      <c r="C33" s="89"/>
      <c r="D33" s="89"/>
      <c r="E33" s="89"/>
      <c r="F33" s="89"/>
      <c r="G33" s="89"/>
      <c r="H33" s="89"/>
    </row>
    <row r="34" spans="1:8" ht="21.75" customHeight="1">
      <c r="A34" s="94"/>
      <c r="B34" s="89"/>
      <c r="C34" s="89"/>
      <c r="D34" s="89"/>
      <c r="E34" s="89"/>
      <c r="F34" s="89"/>
      <c r="G34" s="89"/>
      <c r="H34" s="89"/>
    </row>
    <row r="35" spans="1:8" ht="21.75" customHeight="1">
      <c r="A35" s="94"/>
      <c r="B35" s="89"/>
      <c r="C35" s="89"/>
      <c r="D35" s="89"/>
      <c r="E35" s="89"/>
      <c r="F35" s="89"/>
      <c r="G35" s="89"/>
      <c r="H35" s="89"/>
    </row>
    <row r="36" spans="1:8" ht="21.75" customHeight="1">
      <c r="A36" s="94"/>
      <c r="B36" s="89"/>
      <c r="C36" s="89"/>
      <c r="D36" s="89"/>
      <c r="E36" s="89"/>
      <c r="F36" s="89"/>
      <c r="G36" s="89"/>
      <c r="H36" s="89"/>
    </row>
    <row r="37" spans="1:8" ht="21.75" customHeight="1">
      <c r="A37" s="94"/>
      <c r="B37" s="89"/>
      <c r="C37" s="89"/>
      <c r="D37" s="89"/>
      <c r="E37" s="89"/>
      <c r="F37" s="89"/>
      <c r="G37" s="89"/>
      <c r="H37" s="89"/>
    </row>
    <row r="38" spans="1:8" ht="21.75" customHeight="1">
      <c r="A38" s="94"/>
      <c r="B38" s="89"/>
      <c r="C38" s="89"/>
      <c r="D38" s="89"/>
      <c r="E38" s="89"/>
      <c r="F38" s="89"/>
      <c r="G38" s="89"/>
      <c r="H38" s="89"/>
    </row>
    <row r="39" spans="1:8" ht="21.75" customHeight="1">
      <c r="A39" s="94"/>
      <c r="B39" s="89"/>
      <c r="C39" s="89"/>
      <c r="D39" s="89"/>
      <c r="E39" s="89"/>
      <c r="F39" s="89"/>
      <c r="G39" s="89"/>
      <c r="H39" s="89"/>
    </row>
    <row r="40" spans="1:8" ht="21.75" customHeight="1">
      <c r="A40" s="94"/>
      <c r="B40" s="89"/>
      <c r="C40" s="89"/>
      <c r="D40" s="89"/>
      <c r="E40" s="89"/>
      <c r="F40" s="89"/>
      <c r="G40" s="89"/>
      <c r="H40" s="89"/>
    </row>
    <row r="41" spans="1:8" ht="21.75" customHeight="1">
      <c r="A41" s="94"/>
      <c r="B41" s="89"/>
      <c r="C41" s="89"/>
      <c r="D41" s="89"/>
      <c r="E41" s="89"/>
      <c r="F41" s="89"/>
      <c r="G41" s="89"/>
      <c r="H41" s="89"/>
    </row>
  </sheetData>
  <sheetProtection password="CE28" sheet="1"/>
  <mergeCells count="3">
    <mergeCell ref="A1:D1"/>
    <mergeCell ref="J2:L2"/>
    <mergeCell ref="J9:L9"/>
  </mergeCells>
  <hyperlinks>
    <hyperlink ref="K4" location="'Заказ запчастей'!A1" display="Заказ запчастей"/>
    <hyperlink ref="K5" location="'Заказ-наряд'!A1" display="Заказ-наряд"/>
    <hyperlink ref="K6" location="'Акт приемки-сдачи'!A1" display="Акт приемки-сдачи"/>
    <hyperlink ref="K10" location="'Ввод данных'!A1" display="Прием автомобиля"/>
    <hyperlink ref="K11" location="'Заказ запчастей'!A1" display="Заказ запчастей"/>
    <hyperlink ref="K12" location="'Заказ-наряд'!A1" display="Передача в ремонт"/>
    <hyperlink ref="K13" location="'Где автомобиль'!A1" display="Выдача клиенту"/>
    <hyperlink ref="K15" location="'Где автомобиль'!A1" display="Информация об автомобиле"/>
    <hyperlink ref="K3" location="'Карта ремонта'!A1" display="Карта ремонта"/>
    <hyperlink ref="K16" location="'Что было'!A1" display="Что было с автомобилем"/>
  </hyperlink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1:M25"/>
  <sheetViews>
    <sheetView showZeros="0" zoomScalePageLayoutView="0" workbookViewId="0" topLeftCell="A4">
      <selection activeCell="D7" sqref="D7"/>
    </sheetView>
  </sheetViews>
  <sheetFormatPr defaultColWidth="9.140625" defaultRowHeight="21.75" customHeight="1"/>
  <cols>
    <col min="1" max="1" width="23.00390625" style="0" customWidth="1"/>
    <col min="2" max="2" width="20.00390625" style="0" customWidth="1"/>
    <col min="3" max="3" width="17.421875" style="0" customWidth="1"/>
    <col min="4" max="4" width="6.7109375" style="0" customWidth="1"/>
    <col min="6" max="6" width="10.28125" style="0" hidden="1" customWidth="1"/>
    <col min="7" max="7" width="11.140625" style="0" hidden="1" customWidth="1"/>
    <col min="8" max="10" width="9.140625" style="0" hidden="1" customWidth="1"/>
    <col min="11" max="11" width="3.57421875" style="0" bestFit="1" customWidth="1"/>
  </cols>
  <sheetData>
    <row r="1" spans="1:10" ht="21.75" customHeight="1" thickBot="1">
      <c r="A1" s="114" t="s">
        <v>748</v>
      </c>
      <c r="B1" s="114"/>
      <c r="C1" s="114"/>
      <c r="F1" t="s">
        <v>0</v>
      </c>
      <c r="I1" s="58" t="s">
        <v>7</v>
      </c>
      <c r="J1" s="3" t="s">
        <v>8</v>
      </c>
    </row>
    <row r="2" spans="6:13" ht="21.75" customHeight="1" thickBot="1" thickTop="1">
      <c r="F2" t="str">
        <f>A6</f>
        <v>С422ТХ97</v>
      </c>
      <c r="G2">
        <f>DMAX(hiremont,2,F1:F2)</f>
        <v>0</v>
      </c>
      <c r="I2" t="e">
        <f>"&gt;"&amp;#REF!</f>
        <v>#REF!</v>
      </c>
      <c r="J2" t="s">
        <v>10</v>
      </c>
      <c r="K2" s="114" t="s">
        <v>166</v>
      </c>
      <c r="L2" s="114"/>
      <c r="M2" s="114"/>
    </row>
    <row r="3" spans="11:12" ht="21.75" customHeight="1" thickTop="1">
      <c r="K3" s="51" t="s">
        <v>31</v>
      </c>
      <c r="L3" s="69" t="s">
        <v>60</v>
      </c>
    </row>
    <row r="4" spans="1:12" ht="21.75" customHeight="1" thickBot="1">
      <c r="A4" s="46" t="s">
        <v>749</v>
      </c>
      <c r="B4" s="46"/>
      <c r="C4" s="46"/>
      <c r="K4" s="51" t="s">
        <v>32</v>
      </c>
      <c r="L4" s="69" t="s">
        <v>164</v>
      </c>
    </row>
    <row r="5" spans="1:12" ht="21.75" customHeight="1" thickTop="1">
      <c r="A5" s="13" t="s">
        <v>18</v>
      </c>
      <c r="K5" s="51" t="s">
        <v>33</v>
      </c>
      <c r="L5" s="69" t="s">
        <v>76</v>
      </c>
    </row>
    <row r="6" spans="1:12" ht="21.75" customHeight="1">
      <c r="A6" s="78" t="s">
        <v>759</v>
      </c>
      <c r="K6" s="51" t="s">
        <v>34</v>
      </c>
      <c r="L6" s="69" t="s">
        <v>165</v>
      </c>
    </row>
    <row r="7" spans="1:2" ht="21.75" customHeight="1">
      <c r="A7" s="13" t="s">
        <v>1</v>
      </c>
      <c r="B7" s="13" t="s">
        <v>2</v>
      </c>
    </row>
    <row r="8" spans="1:7" ht="21.75" customHeight="1">
      <c r="A8" s="67" t="str">
        <f>IF(ISERROR(VLOOKUP($A$6,Auto,2,0)),"Нет информации",VLOOKUP($A$6,Auto,2,0))</f>
        <v>Нет информации</v>
      </c>
      <c r="B8" s="67" t="str">
        <f>IF(ISERROR(VLOOKUP($A$6,Auto,3,0)),"Нет информации",VLOOKUP($A$6,Auto,3,0))</f>
        <v>Нет информации</v>
      </c>
      <c r="F8" t="e">
        <f>MATCH(A6,Hiremont!D:D,0)</f>
        <v>#N/A</v>
      </c>
      <c r="G8" s="67">
        <f>IF(ISERROR($F8),"",INDEX(Hiremont!A:A,'Что было'!$F8))</f>
      </c>
    </row>
    <row r="9" spans="1:13" ht="21.75" customHeight="1" thickBot="1">
      <c r="A9" s="13" t="s">
        <v>5</v>
      </c>
      <c r="B9" s="13" t="s">
        <v>6</v>
      </c>
      <c r="C9" s="13" t="s">
        <v>52</v>
      </c>
      <c r="F9" t="e">
        <f aca="true" ca="1" t="shared" si="0" ref="F9:F17">MATCH($A$6,INDIRECT("Hiremont!D"&amp;F8+1&amp;":D65000"),0)+F8</f>
        <v>#N/A</v>
      </c>
      <c r="G9" s="67">
        <f>IF(ISERROR($F9),"",INDEX(Hiremont!A:A,'Что было'!$F9))</f>
      </c>
      <c r="K9" s="114" t="s">
        <v>171</v>
      </c>
      <c r="L9" s="114"/>
      <c r="M9" s="114"/>
    </row>
    <row r="10" spans="1:12" ht="25.5" thickTop="1">
      <c r="A10" s="86" t="str">
        <f>IF(ISERROR(VLOOKUP($A$6,Auto,8,0)),"Нет информации",VLOOKUP($A$6,Auto,8,0))</f>
        <v>Нет информации</v>
      </c>
      <c r="B10" s="67" t="str">
        <f>IF(ISERROR(VLOOKUP($A$6,Auto,9,0)),"Нет информации",VLOOKUP($A$6,Auto,9,0))</f>
        <v>Нет информации</v>
      </c>
      <c r="C10" s="67" t="str">
        <f>IF(ISERROR(VLOOKUP($A$6,Auto,6,0)),"Нет информации",VLOOKUP($A$6,Auto,6,0))</f>
        <v>Нет информации</v>
      </c>
      <c r="F10" t="e">
        <f ca="1" t="shared" si="0"/>
        <v>#N/A</v>
      </c>
      <c r="G10" s="67">
        <f>IF(ISERROR($F10),"",INDEX(Hiremont!A:A,'Что было'!$F10))</f>
      </c>
      <c r="K10" s="51" t="s">
        <v>31</v>
      </c>
      <c r="L10" s="69" t="s">
        <v>130</v>
      </c>
    </row>
    <row r="11" spans="1:12" ht="21.75" customHeight="1">
      <c r="A11" s="13" t="s">
        <v>751</v>
      </c>
      <c r="B11" s="67">
        <f>DCOUNTA(hiremont,1,F1:F2)</f>
        <v>0</v>
      </c>
      <c r="C11" s="13" t="s">
        <v>752</v>
      </c>
      <c r="F11" t="e">
        <f ca="1" t="shared" si="0"/>
        <v>#N/A</v>
      </c>
      <c r="G11" s="67">
        <f>IF(ISERROR($F11),"",INDEX(Hiremont!A:A,'Что было'!$F11))</f>
      </c>
      <c r="K11" s="51" t="s">
        <v>32</v>
      </c>
      <c r="L11" s="69" t="s">
        <v>164</v>
      </c>
    </row>
    <row r="12" spans="6:12" ht="21.75" customHeight="1">
      <c r="F12" t="e">
        <f ca="1" t="shared" si="0"/>
        <v>#N/A</v>
      </c>
      <c r="G12" s="67">
        <f>IF(ISERROR($F12),"",INDEX(Hiremont!A:A,'Что было'!$F12))</f>
      </c>
      <c r="K12" s="51" t="s">
        <v>33</v>
      </c>
      <c r="L12" s="69" t="s">
        <v>167</v>
      </c>
    </row>
    <row r="13" spans="1:12" ht="21.75" customHeight="1">
      <c r="A13" s="13" t="s">
        <v>19</v>
      </c>
      <c r="B13" s="13" t="s">
        <v>20</v>
      </c>
      <c r="C13" s="13" t="s">
        <v>21</v>
      </c>
      <c r="F13" t="e">
        <f ca="1" t="shared" si="0"/>
        <v>#N/A</v>
      </c>
      <c r="G13" s="67">
        <f>IF(ISERROR($F13),"",INDEX(Hiremont!A:A,'Что было'!$F13))</f>
      </c>
      <c r="K13" s="51" t="s">
        <v>34</v>
      </c>
      <c r="L13" s="69" t="s">
        <v>169</v>
      </c>
    </row>
    <row r="14" spans="1:7" ht="21.75" customHeight="1">
      <c r="A14" s="80" t="s">
        <v>760</v>
      </c>
      <c r="B14" s="68" t="e">
        <f>VLOOKUP(A14,hiremont,2,0)</f>
        <v>#N/A</v>
      </c>
      <c r="C14" s="68" t="e">
        <f>VLOOKUP(A14,hiremont,3,0)</f>
        <v>#N/A</v>
      </c>
      <c r="F14" t="e">
        <f ca="1" t="shared" si="0"/>
        <v>#N/A</v>
      </c>
      <c r="G14" s="67">
        <f>IF(ISERROR($F14),"",INDEX(Hiremont!A:A,'Что было'!$F14))</f>
      </c>
    </row>
    <row r="15" spans="1:12" ht="21.75" customHeight="1">
      <c r="A15" s="13" t="s">
        <v>163</v>
      </c>
      <c r="B15" s="13" t="s">
        <v>152</v>
      </c>
      <c r="C15" s="13" t="s">
        <v>747</v>
      </c>
      <c r="F15" t="e">
        <f ca="1" t="shared" si="0"/>
        <v>#N/A</v>
      </c>
      <c r="G15" s="67">
        <f>IF(ISERROR($F15),"",INDEX(Hiremont!A:A,'Что было'!$F15))</f>
      </c>
      <c r="K15" s="51" t="s">
        <v>35</v>
      </c>
      <c r="L15" s="69" t="s">
        <v>170</v>
      </c>
    </row>
    <row r="16" spans="1:12" ht="21.75" customHeight="1">
      <c r="A16" s="121" t="e">
        <f>VLOOKUP(A14,hiremont,5,0)</f>
        <v>#N/A</v>
      </c>
      <c r="B16" s="121" t="e">
        <f>VLOOKUP(A14,hiremont,6,0)</f>
        <v>#N/A</v>
      </c>
      <c r="C16" s="121" t="e">
        <f>VLOOKUP(A14,hiremont,7,0)</f>
        <v>#N/A</v>
      </c>
      <c r="F16" t="e">
        <f ca="1" t="shared" si="0"/>
        <v>#N/A</v>
      </c>
      <c r="G16" s="67">
        <f>IF(ISERROR($F16),"",INDEX(Hiremont!A:A,'Что было'!$F16))</f>
      </c>
      <c r="K16" s="51" t="s">
        <v>36</v>
      </c>
      <c r="L16" s="69" t="s">
        <v>761</v>
      </c>
    </row>
    <row r="17" spans="1:7" ht="21.75" customHeight="1">
      <c r="A17" s="121"/>
      <c r="B17" s="121"/>
      <c r="C17" s="121"/>
      <c r="F17" t="e">
        <f ca="1" t="shared" si="0"/>
        <v>#N/A</v>
      </c>
      <c r="G17" s="67">
        <f>IF(ISERROR($F17),"",INDEX(Hiremont!A:A,'Что было'!$F17))</f>
      </c>
    </row>
    <row r="18" spans="1:3" ht="21.75" customHeight="1">
      <c r="A18" s="121"/>
      <c r="B18" s="121"/>
      <c r="C18" s="121"/>
    </row>
    <row r="19" spans="1:3" ht="21.75" customHeight="1">
      <c r="A19" s="121"/>
      <c r="B19" s="121"/>
      <c r="C19" s="121"/>
    </row>
    <row r="20" spans="1:3" ht="21.75" customHeight="1">
      <c r="A20" s="121"/>
      <c r="B20" s="121"/>
      <c r="C20" s="121"/>
    </row>
    <row r="21" spans="1:3" ht="21.75" customHeight="1">
      <c r="A21" s="121"/>
      <c r="B21" s="121"/>
      <c r="C21" s="121"/>
    </row>
    <row r="22" spans="1:3" ht="21.75" customHeight="1">
      <c r="A22" s="121"/>
      <c r="B22" s="121"/>
      <c r="C22" s="121"/>
    </row>
    <row r="23" spans="1:3" ht="21.75" customHeight="1">
      <c r="A23" s="121"/>
      <c r="B23" s="121"/>
      <c r="C23" s="121"/>
    </row>
    <row r="24" spans="1:3" ht="21.75" customHeight="1">
      <c r="A24" s="121"/>
      <c r="B24" s="121"/>
      <c r="C24" s="121"/>
    </row>
    <row r="25" spans="1:3" ht="21.75" customHeight="1">
      <c r="A25" s="121"/>
      <c r="B25" s="121"/>
      <c r="C25" s="121"/>
    </row>
  </sheetData>
  <sheetProtection password="CE28" sheet="1"/>
  <mergeCells count="6">
    <mergeCell ref="A1:C1"/>
    <mergeCell ref="K2:M2"/>
    <mergeCell ref="K9:M9"/>
    <mergeCell ref="A16:A25"/>
    <mergeCell ref="B16:B25"/>
    <mergeCell ref="C16:C25"/>
  </mergeCells>
  <dataValidations count="1">
    <dataValidation type="list" allowBlank="1" showInputMessage="1" showErrorMessage="1" sqref="A14">
      <formula1>$G$8:$G$17</formula1>
    </dataValidation>
  </dataValidations>
  <hyperlinks>
    <hyperlink ref="L4" location="'Заказ запчастей'!A1" display="Заказ запчастей"/>
    <hyperlink ref="L5" location="'Заказ-наряд'!A1" display="Заказ-наряд"/>
    <hyperlink ref="L6" location="'Акт приемки-сдачи'!A1" display="Акт приемки-сдачи"/>
    <hyperlink ref="L10" location="'Ввод данных'!A1" display="Прием автомобиля"/>
    <hyperlink ref="L11" location="'Заказ запчастей'!A1" display="Заказ запчастей"/>
    <hyperlink ref="L12" location="'Заказ-наряд'!A1" display="Передача в ремонт"/>
    <hyperlink ref="L13" location="'Где автомобиль'!A1" display="Выдача клиенту"/>
    <hyperlink ref="L15" location="'Где автомобиль'!A1" display="Информация об автомобиле"/>
    <hyperlink ref="L3" location="'Карта ремонта'!A1" display="Карта ремонта"/>
    <hyperlink ref="L16" location="Сегодня!A1" display="Сегодня поступил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AD42"/>
  <sheetViews>
    <sheetView showGridLines="0" zoomScalePageLayoutView="0" workbookViewId="0" topLeftCell="A1">
      <selection activeCell="B9" sqref="B9:K9"/>
    </sheetView>
  </sheetViews>
  <sheetFormatPr defaultColWidth="9.140625" defaultRowHeight="15"/>
  <cols>
    <col min="1" max="1" width="20.00390625" style="0" bestFit="1" customWidth="1"/>
    <col min="2" max="18" width="3.7109375" style="0" customWidth="1"/>
    <col min="21" max="21" width="0" style="0" hidden="1" customWidth="1"/>
    <col min="22" max="22" width="18.421875" style="1" hidden="1" customWidth="1"/>
    <col min="23" max="30" width="9.140625" style="0" hidden="1" customWidth="1"/>
  </cols>
  <sheetData>
    <row r="1" spans="1:30" ht="20.25" thickBot="1">
      <c r="A1" s="114" t="s">
        <v>130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V1" s="3" t="s">
        <v>0</v>
      </c>
      <c r="W1" s="3" t="s">
        <v>1</v>
      </c>
      <c r="X1" s="5" t="s">
        <v>2</v>
      </c>
      <c r="Y1" s="3" t="s">
        <v>3</v>
      </c>
      <c r="Z1" s="3" t="s">
        <v>4</v>
      </c>
      <c r="AA1" s="3" t="s">
        <v>52</v>
      </c>
      <c r="AB1" s="3" t="s">
        <v>53</v>
      </c>
      <c r="AC1" s="3" t="s">
        <v>61</v>
      </c>
      <c r="AD1" s="5" t="s">
        <v>6</v>
      </c>
    </row>
    <row r="2" spans="22:30" ht="15.75" thickTop="1">
      <c r="V2" s="37" t="e">
        <f>IF(INDEX(Auto!A:A,'Ввод данных'!$W$7)="","",INDEX(Auto!A:A,'Ввод данных'!$W$7))</f>
        <v>#VALUE!</v>
      </c>
      <c r="W2" s="37" t="e">
        <f>IF(INDEX(Auto!B:B,'Ввод данных'!$W$7)="","",INDEX(Auto!B:B,'Ввод данных'!$W$7))</f>
        <v>#VALUE!</v>
      </c>
      <c r="X2" s="37" t="e">
        <f>IF(INDEX(Auto!C:C,'Ввод данных'!$W$7)="","",INDEX(Auto!C:C,'Ввод данных'!$W$7))</f>
        <v>#VALUE!</v>
      </c>
      <c r="Y2" s="37" t="e">
        <f>IF(INDEX(Auto!D:D,'Ввод данных'!$W$7)="","",INDEX(Auto!D:D,'Ввод данных'!$W$7))</f>
        <v>#VALUE!</v>
      </c>
      <c r="Z2" s="37" t="e">
        <f>IF(INDEX(Auto!E:E,'Ввод данных'!$W$7)="","",INDEX(Auto!E:E,'Ввод данных'!$W$7))</f>
        <v>#VALUE!</v>
      </c>
      <c r="AA2" s="37" t="e">
        <f>IF(INDEX(Auto!F:F,'Ввод данных'!$W$7)="","",INDEX(Auto!F:F,'Ввод данных'!$W$7))</f>
        <v>#VALUE!</v>
      </c>
      <c r="AB2" s="37" t="e">
        <f>IF(INDEX(Auto!G:G,'Ввод данных'!$W$7)="","",INDEX(Auto!G:G,'Ввод данных'!$W$7))</f>
        <v>#VALUE!</v>
      </c>
      <c r="AC2" s="37" t="e">
        <f>IF(INDEX(Auto!H:H,'Ввод данных'!$W$7)="","",INDEX(Auto!H:H,'Ввод данных'!$W$7))</f>
        <v>#VALUE!</v>
      </c>
      <c r="AD2" s="37" t="e">
        <f>IF(INDEX(Auto!I:I,'Ввод данных'!$W$7)="","",INDEX(Auto!I:I,'Ввод данных'!$W$7))</f>
        <v>#VALUE!</v>
      </c>
    </row>
    <row r="3" spans="1:5" ht="15">
      <c r="A3" s="13" t="s">
        <v>51</v>
      </c>
      <c r="B3" s="122">
        <f ca="1">NOW()</f>
        <v>39998.54268888889</v>
      </c>
      <c r="C3" s="123"/>
      <c r="D3" s="123"/>
      <c r="E3" s="123"/>
    </row>
    <row r="4" spans="2:10" ht="18" thickBot="1">
      <c r="B4" s="39" t="s">
        <v>18</v>
      </c>
      <c r="C4" s="39"/>
      <c r="D4" s="39"/>
      <c r="E4" s="39"/>
      <c r="F4" s="39"/>
      <c r="G4" s="39"/>
      <c r="H4" s="39"/>
      <c r="I4" s="39"/>
      <c r="J4" s="39"/>
    </row>
    <row r="5" spans="2:18" ht="15.75" thickTop="1">
      <c r="B5" s="129" t="s">
        <v>147</v>
      </c>
      <c r="C5" s="129"/>
      <c r="D5" s="129"/>
      <c r="E5" s="129"/>
      <c r="F5" s="129"/>
      <c r="G5" s="129"/>
      <c r="H5" s="129"/>
      <c r="I5" s="129"/>
      <c r="J5" s="129"/>
      <c r="K5" s="129"/>
      <c r="L5" s="129" t="s">
        <v>148</v>
      </c>
      <c r="M5" s="129"/>
      <c r="N5" s="129"/>
      <c r="O5" s="129"/>
      <c r="P5" s="129"/>
      <c r="Q5" s="129"/>
      <c r="R5" s="129"/>
    </row>
    <row r="6" spans="2:22" ht="15" hidden="1">
      <c r="B6" s="29">
        <f>IF(W7&lt;1,"","Такой автомобиль в базе уже есть: "&amp;V8)</f>
      </c>
      <c r="V6" s="13" t="s">
        <v>0</v>
      </c>
    </row>
    <row r="7" spans="1:24" ht="21">
      <c r="A7" s="13" t="s">
        <v>0</v>
      </c>
      <c r="B7" s="52"/>
      <c r="C7" s="52"/>
      <c r="D7" s="52"/>
      <c r="E7" s="52"/>
      <c r="F7" s="52"/>
      <c r="G7" s="52"/>
      <c r="H7" s="53"/>
      <c r="I7" s="52"/>
      <c r="J7" s="52"/>
      <c r="K7" s="52"/>
      <c r="L7" s="106"/>
      <c r="M7" s="106"/>
      <c r="N7" s="106"/>
      <c r="O7" s="106"/>
      <c r="P7" s="106"/>
      <c r="Q7" s="106"/>
      <c r="R7" s="106"/>
      <c r="V7" s="29">
        <f>IF(L7="",UPPER(B7&amp;C7&amp;D7&amp;E7&amp;F7&amp;G7&amp;I7&amp;J7&amp;K7),L7)</f>
      </c>
      <c r="W7">
        <f>IF(ISERROR(MATCH(V7,Auto!A:A,0)),-1,IF(MATCH(V7,Auto!A:A,0)&gt;COUNTA(Auto!A:A),0,MATCH(V7,Auto!A:A,0)))</f>
        <v>-1</v>
      </c>
      <c r="X7">
        <f>DCOUNTA(Auto,1,V6:V7)</f>
        <v>3</v>
      </c>
    </row>
    <row r="8" spans="1:22" ht="15">
      <c r="A8" s="1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V8" s="37">
        <f>IF(W7&gt;1,V2&amp;" "&amp;W2&amp;" "&amp;X2&amp;" "&amp;Y2&amp;" "&amp;Z2&amp;" страховщик: "&amp;AA2&amp;" "&amp;AB2&amp;" владелец: "&amp;AC2&amp;" телефон: "&amp;AD2,"")</f>
      </c>
    </row>
    <row r="9" spans="1:27" ht="15">
      <c r="A9" s="31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Z9" s="3" t="s">
        <v>0</v>
      </c>
      <c r="AA9" s="3" t="s">
        <v>8</v>
      </c>
    </row>
    <row r="10" spans="1:28" ht="15">
      <c r="A10" s="13" t="s">
        <v>3</v>
      </c>
      <c r="B10" s="15"/>
      <c r="C10" s="15"/>
      <c r="D10" s="15"/>
      <c r="E10" s="15"/>
      <c r="V10" s="1">
        <f>B10&amp;C10&amp;D10&amp;E10</f>
      </c>
      <c r="Z10">
        <f>V7</f>
      </c>
      <c r="AA10" t="s">
        <v>10</v>
      </c>
      <c r="AB10">
        <f>DCOUNTA(Sob,1,Z9:AA10)</f>
        <v>2</v>
      </c>
    </row>
    <row r="11" spans="1:11" ht="15">
      <c r="A11" s="13" t="s">
        <v>4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5">
      <c r="A12" s="13" t="s">
        <v>52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5" ht="15">
      <c r="A13" s="14" t="s">
        <v>744</v>
      </c>
      <c r="B13" s="106"/>
      <c r="C13" s="106"/>
      <c r="D13" s="106"/>
      <c r="E13" s="106"/>
    </row>
    <row r="14" spans="1:22" ht="15">
      <c r="A14" s="13" t="s">
        <v>53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15"/>
      <c r="O14" s="15"/>
      <c r="P14" s="15"/>
      <c r="Q14" s="15"/>
      <c r="R14" s="30"/>
      <c r="V14" s="29">
        <f>UPPER(B14&amp;C14&amp;D14&amp;E14&amp;F14&amp;G14&amp;H14&amp;I14&amp;J14&amp;K14&amp;L14&amp;M14&amp;N14&amp;O14&amp;P14&amp;Q14&amp;R14)</f>
      </c>
    </row>
    <row r="15" spans="1:11" ht="15">
      <c r="A15" s="13" t="s">
        <v>61</v>
      </c>
      <c r="B15" s="130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5">
      <c r="A16" s="31" t="s">
        <v>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5">
      <c r="A17" s="14" t="s">
        <v>743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9" spans="1:22" ht="15">
      <c r="A19" s="14" t="s">
        <v>132</v>
      </c>
      <c r="V19" s="1" t="str">
        <f>TEXT(DAY(B3),"00")&amp;"-"&amp;TEXT(MONTH(B3),"00")&amp;"-"&amp;TEXT(YEAR(B3)-2000,"00")</f>
        <v>04-07-09</v>
      </c>
    </row>
    <row r="20" spans="1:22" ht="15">
      <c r="A20" s="29" t="str">
        <f>CONCATENATE(TEXT(V20,"00"),"-",V19)</f>
        <v>20-04-07-09</v>
      </c>
      <c r="V20" s="1">
        <f>Номер_последнего_заказа+1</f>
        <v>20</v>
      </c>
    </row>
    <row r="22" ht="15">
      <c r="A22" s="13" t="s">
        <v>9</v>
      </c>
    </row>
    <row r="23" spans="1:18" ht="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7" spans="1:10" ht="20.25" thickBot="1">
      <c r="A27" s="114" t="s">
        <v>166</v>
      </c>
      <c r="B27" s="114"/>
      <c r="C27" s="114"/>
      <c r="D27" s="114"/>
      <c r="E27" s="114"/>
      <c r="F27" s="114"/>
      <c r="G27" s="114"/>
      <c r="H27" s="114"/>
      <c r="I27" s="114"/>
      <c r="J27" t="s">
        <v>175</v>
      </c>
    </row>
    <row r="28" spans="1:9" ht="21.75" thickTop="1">
      <c r="A28" s="51" t="s">
        <v>31</v>
      </c>
      <c r="B28" s="131" t="s">
        <v>60</v>
      </c>
      <c r="C28" s="131"/>
      <c r="D28" s="131"/>
      <c r="E28" s="131"/>
      <c r="F28" s="131"/>
      <c r="G28" s="131"/>
      <c r="H28" s="131"/>
      <c r="I28" s="131"/>
    </row>
    <row r="29" spans="1:9" ht="21">
      <c r="A29" s="51" t="s">
        <v>32</v>
      </c>
      <c r="B29" s="131" t="s">
        <v>164</v>
      </c>
      <c r="C29" s="131"/>
      <c r="D29" s="131"/>
      <c r="E29" s="131"/>
      <c r="F29" s="131"/>
      <c r="G29" s="131"/>
      <c r="H29" s="131"/>
      <c r="I29" s="131"/>
    </row>
    <row r="30" spans="1:9" ht="21">
      <c r="A30" s="51" t="s">
        <v>33</v>
      </c>
      <c r="B30" s="131" t="s">
        <v>76</v>
      </c>
      <c r="C30" s="131"/>
      <c r="D30" s="131"/>
      <c r="E30" s="131"/>
      <c r="F30" s="131"/>
      <c r="G30" s="131"/>
      <c r="H30" s="131"/>
      <c r="I30" s="131"/>
    </row>
    <row r="31" spans="1:9" ht="21">
      <c r="A31" s="51" t="s">
        <v>34</v>
      </c>
      <c r="B31" s="131" t="s">
        <v>165</v>
      </c>
      <c r="C31" s="131"/>
      <c r="D31" s="131"/>
      <c r="E31" s="131"/>
      <c r="F31" s="131"/>
      <c r="G31" s="131"/>
      <c r="H31" s="131"/>
      <c r="I31" s="131"/>
    </row>
    <row r="34" spans="1:9" ht="20.25" thickBot="1">
      <c r="A34" s="114" t="s">
        <v>11</v>
      </c>
      <c r="B34" s="114"/>
      <c r="C34" s="114"/>
      <c r="D34" s="114"/>
      <c r="E34" s="114"/>
      <c r="F34" s="114"/>
      <c r="G34" s="114"/>
      <c r="H34" s="114"/>
      <c r="I34" s="114"/>
    </row>
    <row r="35" spans="1:11" ht="21.75" thickTop="1">
      <c r="A35" s="51" t="s">
        <v>31</v>
      </c>
      <c r="B35" s="125" t="s">
        <v>130</v>
      </c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21">
      <c r="A36" s="51" t="s">
        <v>32</v>
      </c>
      <c r="B36" s="125" t="s">
        <v>164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21">
      <c r="A37" s="51" t="s">
        <v>33</v>
      </c>
      <c r="B37" s="125" t="s">
        <v>167</v>
      </c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21">
      <c r="A38" s="51" t="s">
        <v>168</v>
      </c>
      <c r="B38" s="125" t="s">
        <v>169</v>
      </c>
      <c r="C38" s="125"/>
      <c r="D38" s="125"/>
      <c r="E38" s="125"/>
      <c r="F38" s="125"/>
      <c r="G38" s="125"/>
      <c r="H38" s="125"/>
      <c r="I38" s="125"/>
      <c r="J38" s="125"/>
      <c r="K38" s="125"/>
    </row>
    <row r="39" ht="15">
      <c r="A39" s="6"/>
    </row>
    <row r="40" spans="1:11" ht="21">
      <c r="A40" s="51" t="s">
        <v>35</v>
      </c>
      <c r="B40" s="125" t="s">
        <v>170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2" ht="21">
      <c r="A41" s="51" t="s">
        <v>36</v>
      </c>
      <c r="B41" s="71" t="s">
        <v>761</v>
      </c>
    </row>
    <row r="42" spans="1:2" ht="21">
      <c r="A42" s="51" t="s">
        <v>37</v>
      </c>
      <c r="B42" s="71" t="s">
        <v>748</v>
      </c>
    </row>
  </sheetData>
  <sheetProtection password="CE28" sheet="1"/>
  <mergeCells count="25">
    <mergeCell ref="B40:K40"/>
    <mergeCell ref="A27:I27"/>
    <mergeCell ref="A34:I34"/>
    <mergeCell ref="B28:I28"/>
    <mergeCell ref="B29:I29"/>
    <mergeCell ref="B30:I30"/>
    <mergeCell ref="B31:I31"/>
    <mergeCell ref="B35:K35"/>
    <mergeCell ref="B36:K36"/>
    <mergeCell ref="B15:K15"/>
    <mergeCell ref="B16:K16"/>
    <mergeCell ref="B12:K12"/>
    <mergeCell ref="B17:K17"/>
    <mergeCell ref="B38:K38"/>
    <mergeCell ref="B13:E13"/>
    <mergeCell ref="A1:R1"/>
    <mergeCell ref="B3:E3"/>
    <mergeCell ref="B8:K8"/>
    <mergeCell ref="B9:K9"/>
    <mergeCell ref="B37:K37"/>
    <mergeCell ref="B11:K11"/>
    <mergeCell ref="L7:R7"/>
    <mergeCell ref="L5:R5"/>
    <mergeCell ref="B5:K5"/>
    <mergeCell ref="A23:R25"/>
  </mergeCells>
  <dataValidations count="9">
    <dataValidation type="list" allowBlank="1" showInputMessage="1" showErrorMessage="1" sqref="B12:K12">
      <formula1>Страховщики</formula1>
    </dataValidation>
    <dataValidation type="whole" allowBlank="1" showInputMessage="1" showErrorMessage="1" sqref="B10:E10">
      <formula1>0</formula1>
      <formula2>9</formula2>
    </dataValidation>
    <dataValidation type="textLength" allowBlank="1" showInputMessage="1" showErrorMessage="1" sqref="B14:R14">
      <formula1>1</formula1>
      <formula2>1</formula2>
    </dataValidation>
    <dataValidation type="list" allowBlank="1" showInputMessage="1" showErrorMessage="1" sqref="B8:K8">
      <formula1>Марка</formula1>
    </dataValidation>
    <dataValidation type="list" allowBlank="1" showInputMessage="1" showErrorMessage="1" sqref="B9:K9">
      <formula1>INDIRECT($B$8)</formula1>
    </dataValidation>
    <dataValidation type="textLength" operator="equal" allowBlank="1" showInputMessage="1" showErrorMessage="1" sqref="H7">
      <formula1>1</formula1>
    </dataValidation>
    <dataValidation type="list" operator="equal" allowBlank="1" showInputMessage="1" showErrorMessage="1" errorTitle="Внимание!" error="Только разрешенные буквы!" sqref="G7">
      <formula1>Буквы_на_госномере</formula1>
    </dataValidation>
    <dataValidation type="list" operator="equal" showInputMessage="1" showErrorMessage="1" errorTitle="Внимание!" error="Только разрешенные буквы!" sqref="F7 B7">
      <formula1>Буквы_на_госномере</formula1>
    </dataValidation>
    <dataValidation type="list" showInputMessage="1" showErrorMessage="1" errorTitle="Внимание" error="Только цифры" sqref="C7:E7 I7:K7">
      <formula1>"1,2,3,4,5,6,7,8,9,0"</formula1>
    </dataValidation>
  </dataValidations>
  <hyperlinks>
    <hyperlink ref="B29" location="'Заказ запчастей'!A1" display="Заказ запчастей"/>
    <hyperlink ref="B30" location="'Заказ-наряд'!A1" display="Заказ-наряд"/>
    <hyperlink ref="B31" location="'Акт приемки-сдачи'!A1" display="Акт приемки-сдачи"/>
    <hyperlink ref="B35" location="'Ввод данных'!A1" display="Прием автомобиля"/>
    <hyperlink ref="B36" location="'Заказ запчастей'!A1" display="Заказ запчастей"/>
    <hyperlink ref="B37" location="'Заказ-наряд'!A1" display="Передача в ремонт"/>
    <hyperlink ref="B38" location="'Где автомобиль'!A1" display="Выдача клиенту"/>
    <hyperlink ref="B40" location="'Где автомобиль'!A1" display="Информация об автомобиле"/>
    <hyperlink ref="B28" location="'Карта ремонта'!A1" display="Карта ремонта"/>
    <hyperlink ref="B41" location="Сегодня!A1" display="Сегодня поступили"/>
    <hyperlink ref="B42" location="'Что было'!A1" display="Что было с автомобилем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P37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4.140625" style="0" bestFit="1" customWidth="1"/>
    <col min="10" max="10" width="3.7109375" style="0" customWidth="1"/>
    <col min="11" max="11" width="26.28125" style="0" bestFit="1" customWidth="1"/>
    <col min="13" max="14" width="9.140625" style="0" hidden="1" customWidth="1"/>
    <col min="15" max="16" width="10.140625" style="0" hidden="1" customWidth="1"/>
  </cols>
  <sheetData>
    <row r="1" spans="1:9" ht="18" thickBot="1">
      <c r="A1" s="46"/>
      <c r="B1" s="46"/>
      <c r="C1" s="46" t="s">
        <v>764</v>
      </c>
      <c r="D1" s="46"/>
      <c r="E1" s="46"/>
      <c r="F1" s="46" t="s">
        <v>765</v>
      </c>
      <c r="G1" s="46"/>
      <c r="H1" s="46"/>
      <c r="I1" s="46"/>
    </row>
    <row r="2" spans="3:7" ht="15.75" thickTop="1">
      <c r="C2" s="124" t="s">
        <v>801</v>
      </c>
      <c r="D2" s="124"/>
      <c r="F2" s="124" t="s">
        <v>758</v>
      </c>
      <c r="G2" s="124"/>
    </row>
    <row r="4" spans="1:16" ht="20.25" thickBot="1">
      <c r="A4" s="114" t="s">
        <v>60</v>
      </c>
      <c r="B4" s="114"/>
      <c r="C4" s="114"/>
      <c r="D4" s="114"/>
      <c r="E4" s="114"/>
      <c r="F4" s="114"/>
      <c r="G4" s="114"/>
      <c r="H4" s="114"/>
      <c r="I4" s="114"/>
      <c r="M4" s="38" t="s">
        <v>19</v>
      </c>
      <c r="N4" s="3" t="s">
        <v>8</v>
      </c>
      <c r="O4" s="38" t="s">
        <v>0</v>
      </c>
      <c r="P4" s="38" t="s">
        <v>7</v>
      </c>
    </row>
    <row r="5" spans="7:16" ht="15.75" thickTop="1">
      <c r="G5" s="13" t="s">
        <v>155</v>
      </c>
      <c r="H5" s="139" t="s">
        <v>801</v>
      </c>
      <c r="I5" s="139"/>
      <c r="M5" t="str">
        <f>H5</f>
        <v>19-04-07-09</v>
      </c>
      <c r="N5" t="s">
        <v>10</v>
      </c>
      <c r="O5" s="4">
        <f>IF(ISERROR(DGET(Sob,O4,M4:N5)),"",DGET(Sob,O4,M4:N5))</f>
      </c>
      <c r="P5" s="4">
        <f>IF(ISERROR(DGET(Sob,P4,M4:N5)),"",DGET(Sob,P4,M4:N5))</f>
      </c>
    </row>
    <row r="6" spans="2:8" ht="18" thickBot="1">
      <c r="B6" s="113" t="s">
        <v>10</v>
      </c>
      <c r="C6" s="113"/>
      <c r="D6" s="113"/>
      <c r="E6" s="113"/>
      <c r="F6" s="113"/>
      <c r="G6" s="113"/>
      <c r="H6" s="113"/>
    </row>
    <row r="7" spans="2:6" ht="15.75" thickTop="1">
      <c r="B7" s="13" t="s">
        <v>0</v>
      </c>
      <c r="D7" s="13" t="s">
        <v>129</v>
      </c>
      <c r="F7" s="13"/>
    </row>
    <row r="8" spans="2:12" ht="20.25" thickBot="1">
      <c r="B8" s="105" t="s">
        <v>800</v>
      </c>
      <c r="D8" s="137" t="str">
        <f>VLOOKUP($B$8,Auto,2,0)&amp;" "&amp;VLOOKUP($B$8,Auto,3,0)</f>
        <v>Volvo V50</v>
      </c>
      <c r="E8" s="138"/>
      <c r="F8" s="138"/>
      <c r="G8" s="133"/>
      <c r="J8" s="47" t="s">
        <v>166</v>
      </c>
      <c r="K8" s="47"/>
      <c r="L8" s="47"/>
    </row>
    <row r="9" spans="10:11" ht="21.75" thickTop="1">
      <c r="J9" s="49" t="s">
        <v>31</v>
      </c>
      <c r="K9" s="48" t="s">
        <v>164</v>
      </c>
    </row>
    <row r="10" spans="2:11" ht="21">
      <c r="B10" s="13" t="s">
        <v>61</v>
      </c>
      <c r="C10" s="137">
        <f>IF(VLOOKUP(B8,Auto,8,0)="","",VLOOKUP(B8,Auto,8,0))</f>
      </c>
      <c r="D10" s="138"/>
      <c r="E10" s="138"/>
      <c r="F10" s="138"/>
      <c r="G10" s="138"/>
      <c r="H10" s="133"/>
      <c r="J10" s="49" t="s">
        <v>32</v>
      </c>
      <c r="K10" s="48" t="s">
        <v>76</v>
      </c>
    </row>
    <row r="11" spans="2:11" ht="21">
      <c r="B11" s="13" t="s">
        <v>6</v>
      </c>
      <c r="C11" s="137">
        <f>IF(VLOOKUP(B8,Auto,9,0)="","",VLOOKUP(B8,Auto,9,0))</f>
      </c>
      <c r="D11" s="138"/>
      <c r="E11" s="138"/>
      <c r="F11" s="138"/>
      <c r="G11" s="138"/>
      <c r="H11" s="133"/>
      <c r="J11" s="49" t="s">
        <v>33</v>
      </c>
      <c r="K11" s="48" t="s">
        <v>165</v>
      </c>
    </row>
    <row r="12" spans="2:11" ht="21">
      <c r="B12" s="13" t="s">
        <v>62</v>
      </c>
      <c r="C12" s="137">
        <f>IF(VLOOKUP(B8,Auto,6,0)="","",VLOOKUP(B8,Auto,6,0))</f>
      </c>
      <c r="D12" s="138"/>
      <c r="E12" s="138"/>
      <c r="F12" s="138"/>
      <c r="G12" s="138"/>
      <c r="H12" s="133"/>
      <c r="K12" s="49"/>
    </row>
    <row r="13" spans="10:12" ht="20.25" thickBot="1">
      <c r="J13" s="47" t="s">
        <v>11</v>
      </c>
      <c r="K13" s="47"/>
      <c r="L13" s="47"/>
    </row>
    <row r="14" spans="2:11" ht="21.75" thickTop="1">
      <c r="B14" s="13" t="s">
        <v>20</v>
      </c>
      <c r="G14" s="13" t="s">
        <v>63</v>
      </c>
      <c r="J14" s="49" t="s">
        <v>31</v>
      </c>
      <c r="K14" s="48" t="s">
        <v>130</v>
      </c>
    </row>
    <row r="15" spans="2:11" ht="21">
      <c r="B15" s="132">
        <f>P5</f>
      </c>
      <c r="C15" s="133"/>
      <c r="G15" s="134"/>
      <c r="H15" s="135"/>
      <c r="J15" s="49" t="s">
        <v>32</v>
      </c>
      <c r="K15" s="48" t="s">
        <v>164</v>
      </c>
    </row>
    <row r="16" spans="10:11" ht="21">
      <c r="J16" s="49" t="s">
        <v>33</v>
      </c>
      <c r="K16" s="48" t="s">
        <v>167</v>
      </c>
    </row>
    <row r="17" spans="2:11" ht="21">
      <c r="B17" s="136" t="s">
        <v>64</v>
      </c>
      <c r="C17" s="136"/>
      <c r="D17" s="136"/>
      <c r="E17" s="136"/>
      <c r="F17" s="136"/>
      <c r="G17" s="136"/>
      <c r="H17" s="136"/>
      <c r="J17" s="49" t="s">
        <v>168</v>
      </c>
      <c r="K17" s="48" t="s">
        <v>169</v>
      </c>
    </row>
    <row r="18" spans="2:8" ht="15">
      <c r="B18" s="136" t="s">
        <v>65</v>
      </c>
      <c r="C18" s="136"/>
      <c r="D18" s="136"/>
      <c r="E18" s="136"/>
      <c r="F18" s="136"/>
      <c r="G18" s="136"/>
      <c r="H18" s="136"/>
    </row>
    <row r="19" spans="2:11" ht="21">
      <c r="B19" s="140"/>
      <c r="C19" s="140"/>
      <c r="D19" s="140"/>
      <c r="E19" s="140"/>
      <c r="F19" s="140"/>
      <c r="G19" s="140"/>
      <c r="H19" s="140"/>
      <c r="J19" s="49" t="s">
        <v>35</v>
      </c>
      <c r="K19" s="48" t="s">
        <v>170</v>
      </c>
    </row>
    <row r="20" spans="2:11" ht="21">
      <c r="B20" s="13" t="s">
        <v>66</v>
      </c>
      <c r="F20" s="13" t="s">
        <v>67</v>
      </c>
      <c r="J20" s="51" t="s">
        <v>36</v>
      </c>
      <c r="K20" s="71" t="s">
        <v>761</v>
      </c>
    </row>
    <row r="21" spans="2:11" ht="21">
      <c r="B21" s="28"/>
      <c r="C21" s="28"/>
      <c r="D21" s="28"/>
      <c r="F21" s="28"/>
      <c r="G21" s="28"/>
      <c r="H21" s="28"/>
      <c r="J21" s="51" t="s">
        <v>37</v>
      </c>
      <c r="K21" s="71" t="s">
        <v>748</v>
      </c>
    </row>
    <row r="23" spans="2:8" ht="15">
      <c r="B23" s="136" t="s">
        <v>68</v>
      </c>
      <c r="C23" s="136"/>
      <c r="D23" s="136"/>
      <c r="E23" s="136"/>
      <c r="F23" s="136"/>
      <c r="G23" s="136"/>
      <c r="H23" s="136"/>
    </row>
    <row r="26" spans="2:8" ht="17.25">
      <c r="B26" s="141" t="s">
        <v>69</v>
      </c>
      <c r="C26" s="141"/>
      <c r="D26" s="141"/>
      <c r="E26" s="141"/>
      <c r="F26" s="141"/>
      <c r="G26" s="141"/>
      <c r="H26" s="141"/>
    </row>
    <row r="27" spans="2:5" ht="15">
      <c r="B27" s="13" t="s">
        <v>63</v>
      </c>
      <c r="E27" s="13" t="s">
        <v>70</v>
      </c>
    </row>
    <row r="28" spans="2:7" ht="15">
      <c r="B28" s="54"/>
      <c r="E28" s="28"/>
      <c r="F28" s="28"/>
      <c r="G28" s="28"/>
    </row>
    <row r="30" spans="2:6" ht="15">
      <c r="B30" s="13" t="s">
        <v>71</v>
      </c>
      <c r="C30" s="13"/>
      <c r="D30" s="13"/>
      <c r="E30" s="142"/>
      <c r="F30" s="106"/>
    </row>
    <row r="32" spans="2:6" ht="15">
      <c r="B32" s="13" t="s">
        <v>72</v>
      </c>
      <c r="C32" s="13"/>
      <c r="D32" s="13"/>
      <c r="E32" s="106"/>
      <c r="F32" s="106"/>
    </row>
    <row r="34" spans="2:8" ht="17.25">
      <c r="B34" s="141" t="s">
        <v>15</v>
      </c>
      <c r="C34" s="141"/>
      <c r="D34" s="141"/>
      <c r="E34" s="141"/>
      <c r="F34" s="141"/>
      <c r="G34" s="141"/>
      <c r="H34" s="141"/>
    </row>
    <row r="35" spans="2:6" ht="15">
      <c r="B35" s="13" t="s">
        <v>73</v>
      </c>
      <c r="C35" s="13"/>
      <c r="D35" s="13"/>
      <c r="E35" s="106"/>
      <c r="F35" s="106"/>
    </row>
    <row r="36" spans="2:5" ht="15">
      <c r="B36" s="13" t="s">
        <v>74</v>
      </c>
      <c r="E36" s="7"/>
    </row>
    <row r="37" spans="2:5" ht="15">
      <c r="B37" s="14" t="s">
        <v>75</v>
      </c>
      <c r="C37" s="13"/>
      <c r="D37" s="13"/>
      <c r="E37" s="13"/>
    </row>
  </sheetData>
  <sheetProtection password="CE28" sheet="1"/>
  <mergeCells count="20">
    <mergeCell ref="E35:F35"/>
    <mergeCell ref="D8:G8"/>
    <mergeCell ref="B19:H19"/>
    <mergeCell ref="B23:H23"/>
    <mergeCell ref="B26:H26"/>
    <mergeCell ref="E30:F30"/>
    <mergeCell ref="E32:F32"/>
    <mergeCell ref="B34:H34"/>
    <mergeCell ref="C11:H11"/>
    <mergeCell ref="C12:H12"/>
    <mergeCell ref="C2:D2"/>
    <mergeCell ref="F2:G2"/>
    <mergeCell ref="B15:C15"/>
    <mergeCell ref="G15:H15"/>
    <mergeCell ref="B18:H18"/>
    <mergeCell ref="B17:H17"/>
    <mergeCell ref="B6:H6"/>
    <mergeCell ref="A4:I4"/>
    <mergeCell ref="C10:H10"/>
    <mergeCell ref="H5:I5"/>
  </mergeCells>
  <dataValidations count="2">
    <dataValidation type="list" allowBlank="1" showInputMessage="1" showErrorMessage="1" sqref="C2">
      <formula1>Код_заказа</formula1>
    </dataValidation>
    <dataValidation type="list" allowBlank="1" showInputMessage="1" showErrorMessage="1" sqref="F2">
      <formula1>Госномер</formula1>
    </dataValidation>
  </dataValidations>
  <hyperlinks>
    <hyperlink ref="K9" location="'Заказ запчастей'!A1" display="Заказ запчастей"/>
    <hyperlink ref="K10" location="'Заказ-наряд'!A1" display="Заказ-наряд"/>
    <hyperlink ref="K11" location="'Акт приемки-сдачи'!A1" display="Акт приемки-сдачи"/>
    <hyperlink ref="K14" location="'Ввод данных'!A1" display="Прием автомобиля"/>
    <hyperlink ref="K15" location="'Заказ запчастей'!A1" display="Заказ запчастей"/>
    <hyperlink ref="K16" location="'Заказ-наряд'!A1" display="Передача в ремонт"/>
    <hyperlink ref="K17" location="'Где автомобиль'!A1" display="Выдача клиенту"/>
    <hyperlink ref="K19" location="'Где автомобиль'!A1" display="Информация об автомобиле"/>
    <hyperlink ref="K20" location="Сегодня!A1" display="Сегодня поступили"/>
    <hyperlink ref="K21" location="'Что было'!A1" display="Что было с автомобилем"/>
  </hyperlink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Видякин</dc:creator>
  <cp:keywords/>
  <dc:description/>
  <cp:lastModifiedBy>Олег Видякин</cp:lastModifiedBy>
  <cp:lastPrinted>2009-07-03T12:26:54Z</cp:lastPrinted>
  <dcterms:created xsi:type="dcterms:W3CDTF">2009-05-26T12:17:26Z</dcterms:created>
  <dcterms:modified xsi:type="dcterms:W3CDTF">2009-07-04T10:01:36Z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